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Novostavba chodníku a podélného parkovacího stání ul. Fügnerova, Bílina\E-ZAK\"/>
    </mc:Choice>
  </mc:AlternateContent>
  <bookViews>
    <workbookView xWindow="0" yWindow="0" windowWidth="28800" windowHeight="10755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VORN!$I$45</definedName>
  </definedNames>
  <calcPr calcId="162913"/>
</workbook>
</file>

<file path=xl/calcChain.xml><?xml version="1.0" encoding="utf-8"?>
<calcChain xmlns="http://schemas.openxmlformats.org/spreadsheetml/2006/main">
  <c r="F44" i="3" l="1"/>
  <c r="I44" i="3" s="1"/>
  <c r="F43" i="3"/>
  <c r="I43" i="3" s="1"/>
  <c r="F42" i="3"/>
  <c r="I42" i="3" s="1"/>
  <c r="F40" i="3"/>
  <c r="I40" i="3" s="1"/>
  <c r="F39" i="3"/>
  <c r="I39" i="3" s="1"/>
  <c r="F36" i="3"/>
  <c r="I36" i="3" s="1"/>
  <c r="I26" i="3"/>
  <c r="I19" i="2" s="1"/>
  <c r="I25" i="3"/>
  <c r="I18" i="2" s="1"/>
  <c r="I24" i="3"/>
  <c r="I23" i="3"/>
  <c r="I16" i="2" s="1"/>
  <c r="I22" i="3"/>
  <c r="I21" i="3"/>
  <c r="I14" i="2" s="1"/>
  <c r="I17" i="3"/>
  <c r="I16" i="3"/>
  <c r="F15" i="2" s="1"/>
  <c r="I15" i="3"/>
  <c r="I10" i="3"/>
  <c r="F10" i="3"/>
  <c r="C10" i="3"/>
  <c r="F8" i="3"/>
  <c r="C8" i="3"/>
  <c r="F6" i="3"/>
  <c r="C6" i="3"/>
  <c r="F4" i="3"/>
  <c r="C4" i="3"/>
  <c r="F2" i="3"/>
  <c r="C2" i="3"/>
  <c r="I17" i="2"/>
  <c r="F16" i="2"/>
  <c r="I15" i="2"/>
  <c r="F14" i="2"/>
  <c r="I10" i="2"/>
  <c r="F10" i="2"/>
  <c r="C10" i="2"/>
  <c r="F8" i="2"/>
  <c r="C8" i="2"/>
  <c r="F6" i="2"/>
  <c r="C6" i="2"/>
  <c r="F4" i="2"/>
  <c r="C4" i="2"/>
  <c r="F2" i="2"/>
  <c r="C2" i="2"/>
  <c r="BS93" i="1"/>
  <c r="F41" i="3" s="1"/>
  <c r="I41" i="3" s="1"/>
  <c r="BJ93" i="1"/>
  <c r="BF93" i="1"/>
  <c r="BD93" i="1"/>
  <c r="AP93" i="1"/>
  <c r="AX93" i="1" s="1"/>
  <c r="AO93" i="1"/>
  <c r="BH93" i="1" s="1"/>
  <c r="AL93" i="1"/>
  <c r="AK93" i="1"/>
  <c r="AJ93" i="1"/>
  <c r="AS92" i="1" s="1"/>
  <c r="AH93" i="1"/>
  <c r="AG93" i="1"/>
  <c r="AF93" i="1"/>
  <c r="AE93" i="1"/>
  <c r="AD93" i="1"/>
  <c r="AC93" i="1"/>
  <c r="AB93" i="1"/>
  <c r="Z93" i="1"/>
  <c r="J93" i="1"/>
  <c r="I93" i="1"/>
  <c r="AU92" i="1"/>
  <c r="AT92" i="1"/>
  <c r="J92" i="1"/>
  <c r="I92" i="1"/>
  <c r="BP91" i="1"/>
  <c r="F38" i="3" s="1"/>
  <c r="I38" i="3" s="1"/>
  <c r="BJ91" i="1"/>
  <c r="BH91" i="1"/>
  <c r="BF91" i="1"/>
  <c r="BD91" i="1"/>
  <c r="AP91" i="1"/>
  <c r="AX91" i="1" s="1"/>
  <c r="AO91" i="1"/>
  <c r="AL91" i="1"/>
  <c r="AU90" i="1" s="1"/>
  <c r="AK91" i="1"/>
  <c r="AJ91" i="1"/>
  <c r="AS90" i="1" s="1"/>
  <c r="AH91" i="1"/>
  <c r="AG91" i="1"/>
  <c r="AF91" i="1"/>
  <c r="AE91" i="1"/>
  <c r="AD91" i="1"/>
  <c r="AC91" i="1"/>
  <c r="AB91" i="1"/>
  <c r="Z91" i="1"/>
  <c r="J91" i="1"/>
  <c r="I91" i="1"/>
  <c r="AT90" i="1"/>
  <c r="J90" i="1"/>
  <c r="I90" i="1"/>
  <c r="BO89" i="1"/>
  <c r="F37" i="3" s="1"/>
  <c r="I37" i="3" s="1"/>
  <c r="BJ89" i="1"/>
  <c r="BH89" i="1"/>
  <c r="BF89" i="1"/>
  <c r="BD89" i="1"/>
  <c r="AP89" i="1"/>
  <c r="AX89" i="1" s="1"/>
  <c r="AO89" i="1"/>
  <c r="AL89" i="1"/>
  <c r="AU88" i="1" s="1"/>
  <c r="AK89" i="1"/>
  <c r="AJ89" i="1"/>
  <c r="AS88" i="1" s="1"/>
  <c r="AH89" i="1"/>
  <c r="AG89" i="1"/>
  <c r="AF89" i="1"/>
  <c r="AE89" i="1"/>
  <c r="AD89" i="1"/>
  <c r="AC89" i="1"/>
  <c r="AB89" i="1"/>
  <c r="Z89" i="1"/>
  <c r="J89" i="1"/>
  <c r="I89" i="1"/>
  <c r="AT88" i="1"/>
  <c r="J88" i="1"/>
  <c r="I88" i="1"/>
  <c r="BM87" i="1"/>
  <c r="BJ87" i="1"/>
  <c r="BH87" i="1"/>
  <c r="BF87" i="1"/>
  <c r="BD87" i="1"/>
  <c r="AP87" i="1"/>
  <c r="AX87" i="1" s="1"/>
  <c r="AO87" i="1"/>
  <c r="AL87" i="1"/>
  <c r="AK87" i="1"/>
  <c r="AJ87" i="1"/>
  <c r="AS84" i="1" s="1"/>
  <c r="AH87" i="1"/>
  <c r="AG87" i="1"/>
  <c r="AF87" i="1"/>
  <c r="AE87" i="1"/>
  <c r="AD87" i="1"/>
  <c r="AC87" i="1"/>
  <c r="AB87" i="1"/>
  <c r="Z87" i="1"/>
  <c r="J87" i="1"/>
  <c r="I87" i="1"/>
  <c r="BM86" i="1"/>
  <c r="BJ86" i="1"/>
  <c r="BF86" i="1"/>
  <c r="BD86" i="1"/>
  <c r="AP86" i="1"/>
  <c r="BI86" i="1" s="1"/>
  <c r="AO86" i="1"/>
  <c r="BH86" i="1" s="1"/>
  <c r="AL86" i="1"/>
  <c r="AK86" i="1"/>
  <c r="AJ86" i="1"/>
  <c r="AH86" i="1"/>
  <c r="AG86" i="1"/>
  <c r="AF86" i="1"/>
  <c r="AE86" i="1"/>
  <c r="AD86" i="1"/>
  <c r="AC86" i="1"/>
  <c r="AB86" i="1"/>
  <c r="Z86" i="1"/>
  <c r="J86" i="1"/>
  <c r="H86" i="1"/>
  <c r="BM85" i="1"/>
  <c r="F35" i="3" s="1"/>
  <c r="I35" i="3" s="1"/>
  <c r="BJ85" i="1"/>
  <c r="BI85" i="1"/>
  <c r="BF85" i="1"/>
  <c r="BD85" i="1"/>
  <c r="AX85" i="1"/>
  <c r="AV85" i="1" s="1"/>
  <c r="AW85" i="1"/>
  <c r="BC85" i="1" s="1"/>
  <c r="AP85" i="1"/>
  <c r="I85" i="1" s="1"/>
  <c r="AO85" i="1"/>
  <c r="BH85" i="1" s="1"/>
  <c r="AK85" i="1"/>
  <c r="AT84" i="1" s="1"/>
  <c r="AJ85" i="1"/>
  <c r="AH85" i="1"/>
  <c r="AG85" i="1"/>
  <c r="AF85" i="1"/>
  <c r="AE85" i="1"/>
  <c r="AD85" i="1"/>
  <c r="AC85" i="1"/>
  <c r="AB85" i="1"/>
  <c r="Z85" i="1"/>
  <c r="J85" i="1"/>
  <c r="H85" i="1"/>
  <c r="BJ82" i="1"/>
  <c r="BF82" i="1"/>
  <c r="BD82" i="1"/>
  <c r="AX82" i="1"/>
  <c r="AW82" i="1"/>
  <c r="AP82" i="1"/>
  <c r="BI82" i="1" s="1"/>
  <c r="AO82" i="1"/>
  <c r="H82" i="1" s="1"/>
  <c r="AK82" i="1"/>
  <c r="AJ82" i="1"/>
  <c r="AH82" i="1"/>
  <c r="AG82" i="1"/>
  <c r="AF82" i="1"/>
  <c r="AE82" i="1"/>
  <c r="AD82" i="1"/>
  <c r="AC82" i="1"/>
  <c r="AB82" i="1"/>
  <c r="Z82" i="1"/>
  <c r="J82" i="1"/>
  <c r="AL82" i="1" s="1"/>
  <c r="I82" i="1"/>
  <c r="BJ81" i="1"/>
  <c r="BF81" i="1"/>
  <c r="BD81" i="1"/>
  <c r="AX81" i="1"/>
  <c r="AP81" i="1"/>
  <c r="I81" i="1" s="1"/>
  <c r="AO81" i="1"/>
  <c r="AW81" i="1" s="1"/>
  <c r="AK81" i="1"/>
  <c r="AJ81" i="1"/>
  <c r="AH81" i="1"/>
  <c r="AG81" i="1"/>
  <c r="AF81" i="1"/>
  <c r="AE81" i="1"/>
  <c r="AD81" i="1"/>
  <c r="AC81" i="1"/>
  <c r="AB81" i="1"/>
  <c r="Z81" i="1"/>
  <c r="J81" i="1"/>
  <c r="AL81" i="1" s="1"/>
  <c r="H81" i="1"/>
  <c r="BJ80" i="1"/>
  <c r="AH80" i="1" s="1"/>
  <c r="BF80" i="1"/>
  <c r="BD80" i="1"/>
  <c r="AP80" i="1"/>
  <c r="AX80" i="1" s="1"/>
  <c r="AO80" i="1"/>
  <c r="AL80" i="1"/>
  <c r="AK80" i="1"/>
  <c r="AJ80" i="1"/>
  <c r="AG80" i="1"/>
  <c r="AF80" i="1"/>
  <c r="AE80" i="1"/>
  <c r="AD80" i="1"/>
  <c r="AC80" i="1"/>
  <c r="AB80" i="1"/>
  <c r="Z80" i="1"/>
  <c r="J80" i="1"/>
  <c r="I80" i="1"/>
  <c r="BJ79" i="1"/>
  <c r="BI79" i="1"/>
  <c r="BF79" i="1"/>
  <c r="BD79" i="1"/>
  <c r="AP79" i="1"/>
  <c r="AO79" i="1"/>
  <c r="BH79" i="1" s="1"/>
  <c r="AL79" i="1"/>
  <c r="AK79" i="1"/>
  <c r="AJ79" i="1"/>
  <c r="AH79" i="1"/>
  <c r="AG79" i="1"/>
  <c r="AF79" i="1"/>
  <c r="AE79" i="1"/>
  <c r="AD79" i="1"/>
  <c r="AC79" i="1"/>
  <c r="AB79" i="1"/>
  <c r="Z79" i="1"/>
  <c r="J79" i="1"/>
  <c r="BJ78" i="1"/>
  <c r="AH78" i="1" s="1"/>
  <c r="BF78" i="1"/>
  <c r="BD78" i="1"/>
  <c r="AP78" i="1"/>
  <c r="BI78" i="1" s="1"/>
  <c r="AO78" i="1"/>
  <c r="BH78" i="1" s="1"/>
  <c r="AL78" i="1"/>
  <c r="AK78" i="1"/>
  <c r="AJ78" i="1"/>
  <c r="AG78" i="1"/>
  <c r="AF78" i="1"/>
  <c r="AE78" i="1"/>
  <c r="AD78" i="1"/>
  <c r="AC78" i="1"/>
  <c r="AB78" i="1"/>
  <c r="Z78" i="1"/>
  <c r="J78" i="1"/>
  <c r="H78" i="1"/>
  <c r="BJ77" i="1"/>
  <c r="AH77" i="1" s="1"/>
  <c r="BH77" i="1"/>
  <c r="BF77" i="1"/>
  <c r="BD77" i="1"/>
  <c r="AW77" i="1"/>
  <c r="AP77" i="1"/>
  <c r="BI77" i="1" s="1"/>
  <c r="AO77" i="1"/>
  <c r="H77" i="1" s="1"/>
  <c r="AL77" i="1"/>
  <c r="AK77" i="1"/>
  <c r="AJ77" i="1"/>
  <c r="AG77" i="1"/>
  <c r="AF77" i="1"/>
  <c r="AE77" i="1"/>
  <c r="AD77" i="1"/>
  <c r="AC77" i="1"/>
  <c r="AB77" i="1"/>
  <c r="Z77" i="1"/>
  <c r="J77" i="1"/>
  <c r="I77" i="1"/>
  <c r="BJ76" i="1"/>
  <c r="BI76" i="1"/>
  <c r="BF76" i="1"/>
  <c r="BD76" i="1"/>
  <c r="AX76" i="1"/>
  <c r="AV76" i="1" s="1"/>
  <c r="AW76" i="1"/>
  <c r="AP76" i="1"/>
  <c r="I76" i="1" s="1"/>
  <c r="AO76" i="1"/>
  <c r="BH76" i="1" s="1"/>
  <c r="AK76" i="1"/>
  <c r="AJ76" i="1"/>
  <c r="AH76" i="1"/>
  <c r="AG76" i="1"/>
  <c r="AF76" i="1"/>
  <c r="AE76" i="1"/>
  <c r="AD76" i="1"/>
  <c r="AC76" i="1"/>
  <c r="AB76" i="1"/>
  <c r="Z76" i="1"/>
  <c r="J76" i="1"/>
  <c r="AL76" i="1" s="1"/>
  <c r="H76" i="1"/>
  <c r="BJ75" i="1"/>
  <c r="AH75" i="1" s="1"/>
  <c r="BF75" i="1"/>
  <c r="BD75" i="1"/>
  <c r="AX75" i="1"/>
  <c r="AV75" i="1"/>
  <c r="AP75" i="1"/>
  <c r="BI75" i="1" s="1"/>
  <c r="AO75" i="1"/>
  <c r="AW75" i="1" s="1"/>
  <c r="BC75" i="1" s="1"/>
  <c r="AK75" i="1"/>
  <c r="AJ75" i="1"/>
  <c r="AG75" i="1"/>
  <c r="AF75" i="1"/>
  <c r="AE75" i="1"/>
  <c r="AD75" i="1"/>
  <c r="AC75" i="1"/>
  <c r="AB75" i="1"/>
  <c r="Z75" i="1"/>
  <c r="J75" i="1"/>
  <c r="AL75" i="1" s="1"/>
  <c r="I75" i="1"/>
  <c r="H75" i="1"/>
  <c r="BJ74" i="1"/>
  <c r="BF74" i="1"/>
  <c r="BD74" i="1"/>
  <c r="AW74" i="1"/>
  <c r="AP74" i="1"/>
  <c r="AX74" i="1" s="1"/>
  <c r="AO74" i="1"/>
  <c r="BH74" i="1" s="1"/>
  <c r="AK74" i="1"/>
  <c r="AJ74" i="1"/>
  <c r="AH74" i="1"/>
  <c r="AG74" i="1"/>
  <c r="AF74" i="1"/>
  <c r="AE74" i="1"/>
  <c r="AD74" i="1"/>
  <c r="AC74" i="1"/>
  <c r="AB74" i="1"/>
  <c r="Z74" i="1"/>
  <c r="J74" i="1"/>
  <c r="AL74" i="1" s="1"/>
  <c r="I74" i="1"/>
  <c r="H74" i="1"/>
  <c r="BJ73" i="1"/>
  <c r="BF73" i="1"/>
  <c r="BD73" i="1"/>
  <c r="AX73" i="1"/>
  <c r="AP73" i="1"/>
  <c r="BI73" i="1" s="1"/>
  <c r="AO73" i="1"/>
  <c r="AW73" i="1" s="1"/>
  <c r="AK73" i="1"/>
  <c r="AJ73" i="1"/>
  <c r="AH73" i="1"/>
  <c r="AG73" i="1"/>
  <c r="AF73" i="1"/>
  <c r="AE73" i="1"/>
  <c r="AD73" i="1"/>
  <c r="AC73" i="1"/>
  <c r="AB73" i="1"/>
  <c r="Z73" i="1"/>
  <c r="J73" i="1"/>
  <c r="I73" i="1"/>
  <c r="H73" i="1"/>
  <c r="BJ72" i="1"/>
  <c r="BF72" i="1"/>
  <c r="BD72" i="1"/>
  <c r="AP72" i="1"/>
  <c r="AX72" i="1" s="1"/>
  <c r="AO72" i="1"/>
  <c r="BH72" i="1" s="1"/>
  <c r="AL72" i="1"/>
  <c r="AK72" i="1"/>
  <c r="AJ72" i="1"/>
  <c r="AH72" i="1"/>
  <c r="AG72" i="1"/>
  <c r="AF72" i="1"/>
  <c r="AE72" i="1"/>
  <c r="AD72" i="1"/>
  <c r="AC72" i="1"/>
  <c r="AB72" i="1"/>
  <c r="Z72" i="1"/>
  <c r="J72" i="1"/>
  <c r="I72" i="1"/>
  <c r="BJ71" i="1"/>
  <c r="BI71" i="1"/>
  <c r="BF71" i="1"/>
  <c r="BD71" i="1"/>
  <c r="AP71" i="1"/>
  <c r="AO71" i="1"/>
  <c r="BH71" i="1" s="1"/>
  <c r="AK71" i="1"/>
  <c r="AT68" i="1" s="1"/>
  <c r="AJ71" i="1"/>
  <c r="AH71" i="1"/>
  <c r="AG71" i="1"/>
  <c r="AF71" i="1"/>
  <c r="AE71" i="1"/>
  <c r="AD71" i="1"/>
  <c r="AC71" i="1"/>
  <c r="AB71" i="1"/>
  <c r="Z71" i="1"/>
  <c r="J71" i="1"/>
  <c r="AL71" i="1" s="1"/>
  <c r="BJ70" i="1"/>
  <c r="AH70" i="1" s="1"/>
  <c r="BF70" i="1"/>
  <c r="BD70" i="1"/>
  <c r="AP70" i="1"/>
  <c r="BI70" i="1" s="1"/>
  <c r="AO70" i="1"/>
  <c r="BH70" i="1" s="1"/>
  <c r="AL70" i="1"/>
  <c r="AK70" i="1"/>
  <c r="AJ70" i="1"/>
  <c r="AS68" i="1" s="1"/>
  <c r="AG70" i="1"/>
  <c r="AF70" i="1"/>
  <c r="AE70" i="1"/>
  <c r="AD70" i="1"/>
  <c r="AC70" i="1"/>
  <c r="AB70" i="1"/>
  <c r="Z70" i="1"/>
  <c r="J70" i="1"/>
  <c r="H70" i="1"/>
  <c r="BJ69" i="1"/>
  <c r="AH69" i="1" s="1"/>
  <c r="BF69" i="1"/>
  <c r="BD69" i="1"/>
  <c r="AW69" i="1"/>
  <c r="AP69" i="1"/>
  <c r="BI69" i="1" s="1"/>
  <c r="AO69" i="1"/>
  <c r="H69" i="1" s="1"/>
  <c r="AK69" i="1"/>
  <c r="AJ69" i="1"/>
  <c r="AG69" i="1"/>
  <c r="AF69" i="1"/>
  <c r="AE69" i="1"/>
  <c r="AD69" i="1"/>
  <c r="AC69" i="1"/>
  <c r="AB69" i="1"/>
  <c r="Z69" i="1"/>
  <c r="J69" i="1"/>
  <c r="AL69" i="1" s="1"/>
  <c r="I69" i="1"/>
  <c r="BJ67" i="1"/>
  <c r="Z67" i="1" s="1"/>
  <c r="BF67" i="1"/>
  <c r="BD67" i="1"/>
  <c r="AP67" i="1"/>
  <c r="BI67" i="1" s="1"/>
  <c r="AO67" i="1"/>
  <c r="BH67" i="1" s="1"/>
  <c r="AL67" i="1"/>
  <c r="AK67" i="1"/>
  <c r="AJ67" i="1"/>
  <c r="AH67" i="1"/>
  <c r="AG67" i="1"/>
  <c r="AF67" i="1"/>
  <c r="AE67" i="1"/>
  <c r="AD67" i="1"/>
  <c r="AC67" i="1"/>
  <c r="AB67" i="1"/>
  <c r="J67" i="1"/>
  <c r="H67" i="1"/>
  <c r="BJ66" i="1"/>
  <c r="Z66" i="1" s="1"/>
  <c r="BH66" i="1"/>
  <c r="BF66" i="1"/>
  <c r="BD66" i="1"/>
  <c r="AP66" i="1"/>
  <c r="BI66" i="1" s="1"/>
  <c r="AO66" i="1"/>
  <c r="H66" i="1" s="1"/>
  <c r="AK66" i="1"/>
  <c r="AJ66" i="1"/>
  <c r="AH66" i="1"/>
  <c r="AG66" i="1"/>
  <c r="AF66" i="1"/>
  <c r="AE66" i="1"/>
  <c r="AD66" i="1"/>
  <c r="AC66" i="1"/>
  <c r="AB66" i="1"/>
  <c r="J66" i="1"/>
  <c r="AL66" i="1" s="1"/>
  <c r="I66" i="1"/>
  <c r="BJ65" i="1"/>
  <c r="Z65" i="1" s="1"/>
  <c r="BI65" i="1"/>
  <c r="BF65" i="1"/>
  <c r="BD65" i="1"/>
  <c r="AX65" i="1"/>
  <c r="AV65" i="1" s="1"/>
  <c r="AW65" i="1"/>
  <c r="BC65" i="1" s="1"/>
  <c r="AP65" i="1"/>
  <c r="I65" i="1" s="1"/>
  <c r="AO65" i="1"/>
  <c r="BH65" i="1" s="1"/>
  <c r="AK65" i="1"/>
  <c r="AJ65" i="1"/>
  <c r="AH65" i="1"/>
  <c r="AG65" i="1"/>
  <c r="AF65" i="1"/>
  <c r="AE65" i="1"/>
  <c r="AD65" i="1"/>
  <c r="AC65" i="1"/>
  <c r="AB65" i="1"/>
  <c r="J65" i="1"/>
  <c r="AL65" i="1" s="1"/>
  <c r="H65" i="1"/>
  <c r="BJ64" i="1"/>
  <c r="BF64" i="1"/>
  <c r="BD64" i="1"/>
  <c r="AX64" i="1"/>
  <c r="AV64" i="1"/>
  <c r="AP64" i="1"/>
  <c r="BI64" i="1" s="1"/>
  <c r="AO64" i="1"/>
  <c r="AW64" i="1" s="1"/>
  <c r="BC64" i="1" s="1"/>
  <c r="AK64" i="1"/>
  <c r="AJ64" i="1"/>
  <c r="AS62" i="1" s="1"/>
  <c r="AH64" i="1"/>
  <c r="AG64" i="1"/>
  <c r="AF64" i="1"/>
  <c r="AE64" i="1"/>
  <c r="AD64" i="1"/>
  <c r="AC64" i="1"/>
  <c r="AB64" i="1"/>
  <c r="Z64" i="1"/>
  <c r="J64" i="1"/>
  <c r="AL64" i="1" s="1"/>
  <c r="I64" i="1"/>
  <c r="H64" i="1"/>
  <c r="BJ63" i="1"/>
  <c r="BF63" i="1"/>
  <c r="BD63" i="1"/>
  <c r="AW63" i="1"/>
  <c r="AP63" i="1"/>
  <c r="AX63" i="1" s="1"/>
  <c r="AO63" i="1"/>
  <c r="BH63" i="1" s="1"/>
  <c r="AK63" i="1"/>
  <c r="AT62" i="1" s="1"/>
  <c r="AJ63" i="1"/>
  <c r="AH63" i="1"/>
  <c r="AG63" i="1"/>
  <c r="AF63" i="1"/>
  <c r="AE63" i="1"/>
  <c r="AD63" i="1"/>
  <c r="AC63" i="1"/>
  <c r="AB63" i="1"/>
  <c r="Z63" i="1"/>
  <c r="J63" i="1"/>
  <c r="AL63" i="1" s="1"/>
  <c r="I63" i="1"/>
  <c r="H63" i="1"/>
  <c r="BJ61" i="1"/>
  <c r="BF61" i="1"/>
  <c r="BD61" i="1"/>
  <c r="BC61" i="1"/>
  <c r="AX61" i="1"/>
  <c r="AV61" i="1"/>
  <c r="AP61" i="1"/>
  <c r="BI61" i="1" s="1"/>
  <c r="AG61" i="1" s="1"/>
  <c r="AO61" i="1"/>
  <c r="AW61" i="1" s="1"/>
  <c r="AK61" i="1"/>
  <c r="AJ61" i="1"/>
  <c r="AH61" i="1"/>
  <c r="AE61" i="1"/>
  <c r="AD61" i="1"/>
  <c r="AC61" i="1"/>
  <c r="AB61" i="1"/>
  <c r="Z61" i="1"/>
  <c r="J61" i="1"/>
  <c r="AL61" i="1" s="1"/>
  <c r="I61" i="1"/>
  <c r="H61" i="1"/>
  <c r="BJ60" i="1"/>
  <c r="BF60" i="1"/>
  <c r="BD60" i="1"/>
  <c r="AW60" i="1"/>
  <c r="AP60" i="1"/>
  <c r="AX60" i="1" s="1"/>
  <c r="AO60" i="1"/>
  <c r="BH60" i="1" s="1"/>
  <c r="AF60" i="1" s="1"/>
  <c r="AK60" i="1"/>
  <c r="AJ60" i="1"/>
  <c r="AH60" i="1"/>
  <c r="AE60" i="1"/>
  <c r="AD60" i="1"/>
  <c r="AC60" i="1"/>
  <c r="AB60" i="1"/>
  <c r="Z60" i="1"/>
  <c r="J60" i="1"/>
  <c r="AL60" i="1" s="1"/>
  <c r="I60" i="1"/>
  <c r="H60" i="1"/>
  <c r="BJ59" i="1"/>
  <c r="BF59" i="1"/>
  <c r="BD59" i="1"/>
  <c r="AX59" i="1"/>
  <c r="AP59" i="1"/>
  <c r="I59" i="1" s="1"/>
  <c r="AO59" i="1"/>
  <c r="AW59" i="1" s="1"/>
  <c r="AK59" i="1"/>
  <c r="AJ59" i="1"/>
  <c r="AH59" i="1"/>
  <c r="AE59" i="1"/>
  <c r="AD59" i="1"/>
  <c r="AC59" i="1"/>
  <c r="AB59" i="1"/>
  <c r="Z59" i="1"/>
  <c r="J59" i="1"/>
  <c r="AL59" i="1" s="1"/>
  <c r="AU56" i="1" s="1"/>
  <c r="H59" i="1"/>
  <c r="BJ58" i="1"/>
  <c r="BH58" i="1"/>
  <c r="AF58" i="1" s="1"/>
  <c r="BF58" i="1"/>
  <c r="BD58" i="1"/>
  <c r="AP58" i="1"/>
  <c r="AX58" i="1" s="1"/>
  <c r="AO58" i="1"/>
  <c r="AK58" i="1"/>
  <c r="AJ58" i="1"/>
  <c r="AH58" i="1"/>
  <c r="AE58" i="1"/>
  <c r="AD58" i="1"/>
  <c r="AC58" i="1"/>
  <c r="AB58" i="1"/>
  <c r="Z58" i="1"/>
  <c r="J58" i="1"/>
  <c r="AL58" i="1" s="1"/>
  <c r="I58" i="1"/>
  <c r="BJ57" i="1"/>
  <c r="BI57" i="1"/>
  <c r="AG57" i="1" s="1"/>
  <c r="BF57" i="1"/>
  <c r="BD57" i="1"/>
  <c r="AP57" i="1"/>
  <c r="AO57" i="1"/>
  <c r="BH57" i="1" s="1"/>
  <c r="AF57" i="1" s="1"/>
  <c r="AK57" i="1"/>
  <c r="AT56" i="1" s="1"/>
  <c r="AJ57" i="1"/>
  <c r="AH57" i="1"/>
  <c r="AE57" i="1"/>
  <c r="AD57" i="1"/>
  <c r="AC57" i="1"/>
  <c r="AB57" i="1"/>
  <c r="Z57" i="1"/>
  <c r="J57" i="1"/>
  <c r="AL57" i="1" s="1"/>
  <c r="H57" i="1"/>
  <c r="J56" i="1"/>
  <c r="BJ55" i="1"/>
  <c r="BH55" i="1"/>
  <c r="AF55" i="1" s="1"/>
  <c r="BF55" i="1"/>
  <c r="BD55" i="1"/>
  <c r="AP55" i="1"/>
  <c r="AX55" i="1" s="1"/>
  <c r="AO55" i="1"/>
  <c r="AK55" i="1"/>
  <c r="AJ55" i="1"/>
  <c r="AS54" i="1" s="1"/>
  <c r="AH55" i="1"/>
  <c r="AE55" i="1"/>
  <c r="AD55" i="1"/>
  <c r="AC55" i="1"/>
  <c r="AB55" i="1"/>
  <c r="Z55" i="1"/>
  <c r="J55" i="1"/>
  <c r="AL55" i="1" s="1"/>
  <c r="AU54" i="1" s="1"/>
  <c r="I55" i="1"/>
  <c r="AT54" i="1"/>
  <c r="J54" i="1"/>
  <c r="I54" i="1"/>
  <c r="BJ53" i="1"/>
  <c r="BF53" i="1"/>
  <c r="BD53" i="1"/>
  <c r="AX53" i="1"/>
  <c r="AP53" i="1"/>
  <c r="BI53" i="1" s="1"/>
  <c r="AO53" i="1"/>
  <c r="AW53" i="1" s="1"/>
  <c r="AL53" i="1"/>
  <c r="AU52" i="1" s="1"/>
  <c r="AK53" i="1"/>
  <c r="AJ53" i="1"/>
  <c r="AH53" i="1"/>
  <c r="AG53" i="1"/>
  <c r="AF53" i="1"/>
  <c r="AE53" i="1"/>
  <c r="AD53" i="1"/>
  <c r="AC53" i="1"/>
  <c r="AB53" i="1"/>
  <c r="Z53" i="1"/>
  <c r="J53" i="1"/>
  <c r="J52" i="1" s="1"/>
  <c r="I53" i="1"/>
  <c r="H53" i="1"/>
  <c r="AT52" i="1"/>
  <c r="AS52" i="1"/>
  <c r="I52" i="1"/>
  <c r="H52" i="1"/>
  <c r="BJ51" i="1"/>
  <c r="BF51" i="1"/>
  <c r="BD51" i="1"/>
  <c r="AX51" i="1"/>
  <c r="AW51" i="1"/>
  <c r="AP51" i="1"/>
  <c r="BI51" i="1" s="1"/>
  <c r="AC51" i="1" s="1"/>
  <c r="AO51" i="1"/>
  <c r="BH51" i="1" s="1"/>
  <c r="AK51" i="1"/>
  <c r="AT50" i="1" s="1"/>
  <c r="AJ51" i="1"/>
  <c r="AH51" i="1"/>
  <c r="AG51" i="1"/>
  <c r="AF51" i="1"/>
  <c r="AE51" i="1"/>
  <c r="AD51" i="1"/>
  <c r="AB51" i="1"/>
  <c r="Z51" i="1"/>
  <c r="J51" i="1"/>
  <c r="AL51" i="1" s="1"/>
  <c r="AU50" i="1" s="1"/>
  <c r="I51" i="1"/>
  <c r="I50" i="1" s="1"/>
  <c r="H51" i="1"/>
  <c r="AS50" i="1"/>
  <c r="J50" i="1"/>
  <c r="H50" i="1"/>
  <c r="BJ49" i="1"/>
  <c r="BF49" i="1"/>
  <c r="BD49" i="1"/>
  <c r="BC49" i="1"/>
  <c r="AX49" i="1"/>
  <c r="AW49" i="1"/>
  <c r="AV49" i="1"/>
  <c r="AP49" i="1"/>
  <c r="BI49" i="1" s="1"/>
  <c r="AC49" i="1" s="1"/>
  <c r="AO49" i="1"/>
  <c r="BH49" i="1" s="1"/>
  <c r="AB49" i="1" s="1"/>
  <c r="AK49" i="1"/>
  <c r="AJ49" i="1"/>
  <c r="AS48" i="1" s="1"/>
  <c r="AH49" i="1"/>
  <c r="AG49" i="1"/>
  <c r="AF49" i="1"/>
  <c r="AE49" i="1"/>
  <c r="AD49" i="1"/>
  <c r="Z49" i="1"/>
  <c r="J49" i="1"/>
  <c r="AL49" i="1" s="1"/>
  <c r="AU48" i="1" s="1"/>
  <c r="I49" i="1"/>
  <c r="H49" i="1"/>
  <c r="H48" i="1" s="1"/>
  <c r="AT48" i="1"/>
  <c r="J48" i="1"/>
  <c r="I48" i="1"/>
  <c r="BJ47" i="1"/>
  <c r="BF47" i="1"/>
  <c r="BD47" i="1"/>
  <c r="AW47" i="1"/>
  <c r="AP47" i="1"/>
  <c r="I47" i="1" s="1"/>
  <c r="AO47" i="1"/>
  <c r="BH47" i="1" s="1"/>
  <c r="AB47" i="1" s="1"/>
  <c r="AK47" i="1"/>
  <c r="AJ47" i="1"/>
  <c r="AH47" i="1"/>
  <c r="AG47" i="1"/>
  <c r="AF47" i="1"/>
  <c r="AE47" i="1"/>
  <c r="AD47" i="1"/>
  <c r="Z47" i="1"/>
  <c r="J47" i="1"/>
  <c r="AL47" i="1" s="1"/>
  <c r="H47" i="1"/>
  <c r="BJ46" i="1"/>
  <c r="BF46" i="1"/>
  <c r="BD46" i="1"/>
  <c r="BC46" i="1"/>
  <c r="AX46" i="1"/>
  <c r="AW46" i="1"/>
  <c r="AV46" i="1"/>
  <c r="AP46" i="1"/>
  <c r="BI46" i="1" s="1"/>
  <c r="AC46" i="1" s="1"/>
  <c r="AO46" i="1"/>
  <c r="BH46" i="1" s="1"/>
  <c r="AB46" i="1" s="1"/>
  <c r="AK46" i="1"/>
  <c r="AJ46" i="1"/>
  <c r="AH46" i="1"/>
  <c r="AG46" i="1"/>
  <c r="AF46" i="1"/>
  <c r="AE46" i="1"/>
  <c r="AD46" i="1"/>
  <c r="Z46" i="1"/>
  <c r="J46" i="1"/>
  <c r="AL46" i="1" s="1"/>
  <c r="I46" i="1"/>
  <c r="H46" i="1"/>
  <c r="BJ45" i="1"/>
  <c r="BF45" i="1"/>
  <c r="BD45" i="1"/>
  <c r="AW45" i="1"/>
  <c r="AP45" i="1"/>
  <c r="AX45" i="1" s="1"/>
  <c r="AO45" i="1"/>
  <c r="H45" i="1" s="1"/>
  <c r="AK45" i="1"/>
  <c r="AJ45" i="1"/>
  <c r="AH45" i="1"/>
  <c r="AG45" i="1"/>
  <c r="AF45" i="1"/>
  <c r="AE45" i="1"/>
  <c r="AD45" i="1"/>
  <c r="Z45" i="1"/>
  <c r="J45" i="1"/>
  <c r="AL45" i="1" s="1"/>
  <c r="I45" i="1"/>
  <c r="BJ44" i="1"/>
  <c r="BF44" i="1"/>
  <c r="BD44" i="1"/>
  <c r="AX44" i="1"/>
  <c r="AP44" i="1"/>
  <c r="I44" i="1" s="1"/>
  <c r="AO44" i="1"/>
  <c r="AW44" i="1" s="1"/>
  <c r="AL44" i="1"/>
  <c r="AK44" i="1"/>
  <c r="AJ44" i="1"/>
  <c r="AH44" i="1"/>
  <c r="AG44" i="1"/>
  <c r="AF44" i="1"/>
  <c r="AE44" i="1"/>
  <c r="AD44" i="1"/>
  <c r="Z44" i="1"/>
  <c r="J44" i="1"/>
  <c r="H44" i="1"/>
  <c r="BJ43" i="1"/>
  <c r="BH43" i="1"/>
  <c r="AB43" i="1" s="1"/>
  <c r="BF43" i="1"/>
  <c r="BD43" i="1"/>
  <c r="AP43" i="1"/>
  <c r="AX43" i="1" s="1"/>
  <c r="AO43" i="1"/>
  <c r="AL43" i="1"/>
  <c r="AK43" i="1"/>
  <c r="AJ43" i="1"/>
  <c r="AH43" i="1"/>
  <c r="AG43" i="1"/>
  <c r="AF43" i="1"/>
  <c r="AE43" i="1"/>
  <c r="AD43" i="1"/>
  <c r="Z43" i="1"/>
  <c r="J43" i="1"/>
  <c r="I43" i="1"/>
  <c r="BJ42" i="1"/>
  <c r="BF42" i="1"/>
  <c r="BD42" i="1"/>
  <c r="AP42" i="1"/>
  <c r="AO42" i="1"/>
  <c r="BH42" i="1" s="1"/>
  <c r="AB42" i="1" s="1"/>
  <c r="AL42" i="1"/>
  <c r="AK42" i="1"/>
  <c r="AT39" i="1" s="1"/>
  <c r="AJ42" i="1"/>
  <c r="AH42" i="1"/>
  <c r="AG42" i="1"/>
  <c r="AF42" i="1"/>
  <c r="AE42" i="1"/>
  <c r="AD42" i="1"/>
  <c r="Z42" i="1"/>
  <c r="J42" i="1"/>
  <c r="H42" i="1"/>
  <c r="BJ41" i="1"/>
  <c r="BF41" i="1"/>
  <c r="BD41" i="1"/>
  <c r="AP41" i="1"/>
  <c r="BI41" i="1" s="1"/>
  <c r="AC41" i="1" s="1"/>
  <c r="AO41" i="1"/>
  <c r="BH41" i="1" s="1"/>
  <c r="AB41" i="1" s="1"/>
  <c r="AL41" i="1"/>
  <c r="AK41" i="1"/>
  <c r="AJ41" i="1"/>
  <c r="AH41" i="1"/>
  <c r="AG41" i="1"/>
  <c r="AF41" i="1"/>
  <c r="AE41" i="1"/>
  <c r="AD41" i="1"/>
  <c r="Z41" i="1"/>
  <c r="J41" i="1"/>
  <c r="I41" i="1"/>
  <c r="H41" i="1"/>
  <c r="BJ40" i="1"/>
  <c r="BF40" i="1"/>
  <c r="BD40" i="1"/>
  <c r="AP40" i="1"/>
  <c r="BI40" i="1" s="1"/>
  <c r="AC40" i="1" s="1"/>
  <c r="AO40" i="1"/>
  <c r="H40" i="1" s="1"/>
  <c r="AK40" i="1"/>
  <c r="AJ40" i="1"/>
  <c r="AS39" i="1" s="1"/>
  <c r="AH40" i="1"/>
  <c r="AG40" i="1"/>
  <c r="AF40" i="1"/>
  <c r="AE40" i="1"/>
  <c r="AD40" i="1"/>
  <c r="Z40" i="1"/>
  <c r="J40" i="1"/>
  <c r="AL40" i="1" s="1"/>
  <c r="I40" i="1"/>
  <c r="BJ38" i="1"/>
  <c r="BF38" i="1"/>
  <c r="BD38" i="1"/>
  <c r="AP38" i="1"/>
  <c r="BI38" i="1" s="1"/>
  <c r="AO38" i="1"/>
  <c r="BH38" i="1" s="1"/>
  <c r="AB38" i="1" s="1"/>
  <c r="AL38" i="1"/>
  <c r="AK38" i="1"/>
  <c r="AJ38" i="1"/>
  <c r="AH38" i="1"/>
  <c r="AG38" i="1"/>
  <c r="AF38" i="1"/>
  <c r="AE38" i="1"/>
  <c r="AD38" i="1"/>
  <c r="AC38" i="1"/>
  <c r="Z38" i="1"/>
  <c r="J38" i="1"/>
  <c r="I38" i="1"/>
  <c r="H38" i="1"/>
  <c r="BJ37" i="1"/>
  <c r="BH37" i="1"/>
  <c r="AB37" i="1" s="1"/>
  <c r="BF37" i="1"/>
  <c r="BD37" i="1"/>
  <c r="AW37" i="1"/>
  <c r="AP37" i="1"/>
  <c r="BI37" i="1" s="1"/>
  <c r="AC37" i="1" s="1"/>
  <c r="AO37" i="1"/>
  <c r="H37" i="1" s="1"/>
  <c r="H36" i="1" s="1"/>
  <c r="AK37" i="1"/>
  <c r="AJ37" i="1"/>
  <c r="AS36" i="1" s="1"/>
  <c r="AH37" i="1"/>
  <c r="AG37" i="1"/>
  <c r="AF37" i="1"/>
  <c r="AE37" i="1"/>
  <c r="AD37" i="1"/>
  <c r="Z37" i="1"/>
  <c r="J37" i="1"/>
  <c r="AL37" i="1" s="1"/>
  <c r="I37" i="1"/>
  <c r="I36" i="1" s="1"/>
  <c r="AT36" i="1"/>
  <c r="J36" i="1"/>
  <c r="BJ35" i="1"/>
  <c r="BF35" i="1"/>
  <c r="BD35" i="1"/>
  <c r="AP35" i="1"/>
  <c r="BI35" i="1" s="1"/>
  <c r="AO35" i="1"/>
  <c r="BH35" i="1" s="1"/>
  <c r="AB35" i="1" s="1"/>
  <c r="AL35" i="1"/>
  <c r="AK35" i="1"/>
  <c r="AJ35" i="1"/>
  <c r="AH35" i="1"/>
  <c r="AG35" i="1"/>
  <c r="AF35" i="1"/>
  <c r="AE35" i="1"/>
  <c r="AD35" i="1"/>
  <c r="AC35" i="1"/>
  <c r="Z35" i="1"/>
  <c r="J35" i="1"/>
  <c r="I35" i="1"/>
  <c r="H35" i="1"/>
  <c r="BJ34" i="1"/>
  <c r="BF34" i="1"/>
  <c r="BD34" i="1"/>
  <c r="AP34" i="1"/>
  <c r="BI34" i="1" s="1"/>
  <c r="AC34" i="1" s="1"/>
  <c r="AO34" i="1"/>
  <c r="H34" i="1" s="1"/>
  <c r="AK34" i="1"/>
  <c r="AJ34" i="1"/>
  <c r="AS33" i="1" s="1"/>
  <c r="AH34" i="1"/>
  <c r="AG34" i="1"/>
  <c r="AF34" i="1"/>
  <c r="AE34" i="1"/>
  <c r="AD34" i="1"/>
  <c r="Z34" i="1"/>
  <c r="J34" i="1"/>
  <c r="AL34" i="1" s="1"/>
  <c r="I34" i="1"/>
  <c r="I33" i="1" s="1"/>
  <c r="AT33" i="1"/>
  <c r="J33" i="1"/>
  <c r="BJ32" i="1"/>
  <c r="BF32" i="1"/>
  <c r="BD32" i="1"/>
  <c r="AP32" i="1"/>
  <c r="BI32" i="1" s="1"/>
  <c r="AC32" i="1" s="1"/>
  <c r="AO32" i="1"/>
  <c r="BH32" i="1" s="1"/>
  <c r="AB32" i="1" s="1"/>
  <c r="AL32" i="1"/>
  <c r="AK32" i="1"/>
  <c r="AJ32" i="1"/>
  <c r="AH32" i="1"/>
  <c r="AG32" i="1"/>
  <c r="AF32" i="1"/>
  <c r="AE32" i="1"/>
  <c r="AD32" i="1"/>
  <c r="Z32" i="1"/>
  <c r="J32" i="1"/>
  <c r="I32" i="1"/>
  <c r="H32" i="1"/>
  <c r="BJ31" i="1"/>
  <c r="BH31" i="1"/>
  <c r="AB31" i="1" s="1"/>
  <c r="BF31" i="1"/>
  <c r="BD31" i="1"/>
  <c r="AW31" i="1"/>
  <c r="AP31" i="1"/>
  <c r="AO31" i="1"/>
  <c r="H31" i="1" s="1"/>
  <c r="AK31" i="1"/>
  <c r="AT28" i="1" s="1"/>
  <c r="AJ31" i="1"/>
  <c r="AH31" i="1"/>
  <c r="AG31" i="1"/>
  <c r="AF31" i="1"/>
  <c r="AE31" i="1"/>
  <c r="AD31" i="1"/>
  <c r="Z31" i="1"/>
  <c r="J31" i="1"/>
  <c r="AL31" i="1" s="1"/>
  <c r="BJ30" i="1"/>
  <c r="BF30" i="1"/>
  <c r="BD30" i="1"/>
  <c r="AW30" i="1"/>
  <c r="AP30" i="1"/>
  <c r="I30" i="1" s="1"/>
  <c r="AO30" i="1"/>
  <c r="BH30" i="1" s="1"/>
  <c r="AB30" i="1" s="1"/>
  <c r="AK30" i="1"/>
  <c r="AJ30" i="1"/>
  <c r="AH30" i="1"/>
  <c r="AG30" i="1"/>
  <c r="AF30" i="1"/>
  <c r="AE30" i="1"/>
  <c r="AD30" i="1"/>
  <c r="Z30" i="1"/>
  <c r="J30" i="1"/>
  <c r="AL30" i="1" s="1"/>
  <c r="H30" i="1"/>
  <c r="BJ29" i="1"/>
  <c r="BF29" i="1"/>
  <c r="BD29" i="1"/>
  <c r="AX29" i="1"/>
  <c r="AW29" i="1"/>
  <c r="BC29" i="1" s="1"/>
  <c r="AP29" i="1"/>
  <c r="BI29" i="1" s="1"/>
  <c r="AC29" i="1" s="1"/>
  <c r="AO29" i="1"/>
  <c r="BH29" i="1" s="1"/>
  <c r="AB29" i="1" s="1"/>
  <c r="AK29" i="1"/>
  <c r="AJ29" i="1"/>
  <c r="AH29" i="1"/>
  <c r="AG29" i="1"/>
  <c r="AF29" i="1"/>
  <c r="AE29" i="1"/>
  <c r="AD29" i="1"/>
  <c r="Z29" i="1"/>
  <c r="J29" i="1"/>
  <c r="AL29" i="1" s="1"/>
  <c r="I29" i="1"/>
  <c r="H29" i="1"/>
  <c r="AS28" i="1"/>
  <c r="J28" i="1"/>
  <c r="BJ27" i="1"/>
  <c r="BF27" i="1"/>
  <c r="BD27" i="1"/>
  <c r="AW27" i="1"/>
  <c r="AP27" i="1"/>
  <c r="BI27" i="1" s="1"/>
  <c r="AC27" i="1" s="1"/>
  <c r="AO27" i="1"/>
  <c r="BH27" i="1" s="1"/>
  <c r="AK27" i="1"/>
  <c r="AJ27" i="1"/>
  <c r="AH27" i="1"/>
  <c r="AG27" i="1"/>
  <c r="AF27" i="1"/>
  <c r="AE27" i="1"/>
  <c r="AD27" i="1"/>
  <c r="AB27" i="1"/>
  <c r="Z27" i="1"/>
  <c r="J27" i="1"/>
  <c r="AL27" i="1" s="1"/>
  <c r="I27" i="1"/>
  <c r="H27" i="1"/>
  <c r="BJ26" i="1"/>
  <c r="BF26" i="1"/>
  <c r="BD26" i="1"/>
  <c r="AX26" i="1"/>
  <c r="AW26" i="1"/>
  <c r="AV26" i="1" s="1"/>
  <c r="AP26" i="1"/>
  <c r="BI26" i="1" s="1"/>
  <c r="AC26" i="1" s="1"/>
  <c r="AO26" i="1"/>
  <c r="BH26" i="1" s="1"/>
  <c r="AB26" i="1" s="1"/>
  <c r="AK26" i="1"/>
  <c r="AJ26" i="1"/>
  <c r="AH26" i="1"/>
  <c r="AG26" i="1"/>
  <c r="AF26" i="1"/>
  <c r="AE26" i="1"/>
  <c r="AD26" i="1"/>
  <c r="Z26" i="1"/>
  <c r="J26" i="1"/>
  <c r="AL26" i="1" s="1"/>
  <c r="I26" i="1"/>
  <c r="H26" i="1"/>
  <c r="BJ25" i="1"/>
  <c r="BF25" i="1"/>
  <c r="BD25" i="1"/>
  <c r="AX25" i="1"/>
  <c r="AW25" i="1"/>
  <c r="BC25" i="1" s="1"/>
  <c r="AP25" i="1"/>
  <c r="BI25" i="1" s="1"/>
  <c r="AC25" i="1" s="1"/>
  <c r="AO25" i="1"/>
  <c r="BH25" i="1" s="1"/>
  <c r="AB25" i="1" s="1"/>
  <c r="AK25" i="1"/>
  <c r="AJ25" i="1"/>
  <c r="AS23" i="1" s="1"/>
  <c r="AH25" i="1"/>
  <c r="AG25" i="1"/>
  <c r="AF25" i="1"/>
  <c r="AE25" i="1"/>
  <c r="AD25" i="1"/>
  <c r="Z25" i="1"/>
  <c r="J25" i="1"/>
  <c r="AL25" i="1" s="1"/>
  <c r="I25" i="1"/>
  <c r="I23" i="1" s="1"/>
  <c r="H25" i="1"/>
  <c r="BJ24" i="1"/>
  <c r="BF24" i="1"/>
  <c r="BD24" i="1"/>
  <c r="AX24" i="1"/>
  <c r="AV24" i="1" s="1"/>
  <c r="AW24" i="1"/>
  <c r="BC24" i="1" s="1"/>
  <c r="AP24" i="1"/>
  <c r="BI24" i="1" s="1"/>
  <c r="AC24" i="1" s="1"/>
  <c r="AO24" i="1"/>
  <c r="BH24" i="1" s="1"/>
  <c r="AB24" i="1" s="1"/>
  <c r="AK24" i="1"/>
  <c r="AT23" i="1" s="1"/>
  <c r="AJ24" i="1"/>
  <c r="AH24" i="1"/>
  <c r="AG24" i="1"/>
  <c r="AF24" i="1"/>
  <c r="AE24" i="1"/>
  <c r="AD24" i="1"/>
  <c r="Z24" i="1"/>
  <c r="J24" i="1"/>
  <c r="AL24" i="1" s="1"/>
  <c r="I24" i="1"/>
  <c r="H24" i="1"/>
  <c r="H23" i="1"/>
  <c r="BJ22" i="1"/>
  <c r="BF22" i="1"/>
  <c r="BD22" i="1"/>
  <c r="AW22" i="1"/>
  <c r="AP22" i="1"/>
  <c r="BI22" i="1" s="1"/>
  <c r="AC22" i="1" s="1"/>
  <c r="AO22" i="1"/>
  <c r="BH22" i="1" s="1"/>
  <c r="AB22" i="1" s="1"/>
  <c r="AK22" i="1"/>
  <c r="AT21" i="1" s="1"/>
  <c r="AJ22" i="1"/>
  <c r="AS21" i="1" s="1"/>
  <c r="AH22" i="1"/>
  <c r="AG22" i="1"/>
  <c r="AF22" i="1"/>
  <c r="AE22" i="1"/>
  <c r="AD22" i="1"/>
  <c r="Z22" i="1"/>
  <c r="J22" i="1"/>
  <c r="AL22" i="1" s="1"/>
  <c r="AU21" i="1" s="1"/>
  <c r="I22" i="1"/>
  <c r="I21" i="1" s="1"/>
  <c r="H22" i="1"/>
  <c r="J21" i="1"/>
  <c r="H21" i="1"/>
  <c r="BJ20" i="1"/>
  <c r="BF20" i="1"/>
  <c r="BD20" i="1"/>
  <c r="AX20" i="1"/>
  <c r="AP20" i="1"/>
  <c r="BI20" i="1" s="1"/>
  <c r="AC20" i="1" s="1"/>
  <c r="AO20" i="1"/>
  <c r="BH20" i="1" s="1"/>
  <c r="AB20" i="1" s="1"/>
  <c r="AK20" i="1"/>
  <c r="AJ20" i="1"/>
  <c r="AH20" i="1"/>
  <c r="AG20" i="1"/>
  <c r="AF20" i="1"/>
  <c r="AE20" i="1"/>
  <c r="AD20" i="1"/>
  <c r="Z20" i="1"/>
  <c r="J20" i="1"/>
  <c r="AL20" i="1" s="1"/>
  <c r="I20" i="1"/>
  <c r="H20" i="1"/>
  <c r="H17" i="1" s="1"/>
  <c r="BJ19" i="1"/>
  <c r="BF19" i="1"/>
  <c r="BD19" i="1"/>
  <c r="AW19" i="1"/>
  <c r="AP19" i="1"/>
  <c r="BI19" i="1" s="1"/>
  <c r="AC19" i="1" s="1"/>
  <c r="AO19" i="1"/>
  <c r="BH19" i="1" s="1"/>
  <c r="AB19" i="1" s="1"/>
  <c r="AK19" i="1"/>
  <c r="AJ19" i="1"/>
  <c r="AS17" i="1" s="1"/>
  <c r="AH19" i="1"/>
  <c r="AG19" i="1"/>
  <c r="AF19" i="1"/>
  <c r="AE19" i="1"/>
  <c r="AD19" i="1"/>
  <c r="Z19" i="1"/>
  <c r="J19" i="1"/>
  <c r="AL19" i="1" s="1"/>
  <c r="I19" i="1"/>
  <c r="I17" i="1" s="1"/>
  <c r="H19" i="1"/>
  <c r="BJ18" i="1"/>
  <c r="BF18" i="1"/>
  <c r="BD18" i="1"/>
  <c r="AX18" i="1"/>
  <c r="AV18" i="1" s="1"/>
  <c r="AW18" i="1"/>
  <c r="BC18" i="1" s="1"/>
  <c r="AP18" i="1"/>
  <c r="BI18" i="1" s="1"/>
  <c r="AC18" i="1" s="1"/>
  <c r="AO18" i="1"/>
  <c r="BH18" i="1" s="1"/>
  <c r="AB18" i="1" s="1"/>
  <c r="AK18" i="1"/>
  <c r="AT17" i="1" s="1"/>
  <c r="AJ18" i="1"/>
  <c r="AH18" i="1"/>
  <c r="AG18" i="1"/>
  <c r="AF18" i="1"/>
  <c r="AE18" i="1"/>
  <c r="AD18" i="1"/>
  <c r="Z18" i="1"/>
  <c r="J18" i="1"/>
  <c r="AL18" i="1" s="1"/>
  <c r="I18" i="1"/>
  <c r="H18" i="1"/>
  <c r="BJ16" i="1"/>
  <c r="BF16" i="1"/>
  <c r="BD16" i="1"/>
  <c r="AW16" i="1"/>
  <c r="AP16" i="1"/>
  <c r="BI16" i="1" s="1"/>
  <c r="AC16" i="1" s="1"/>
  <c r="AO16" i="1"/>
  <c r="BH16" i="1" s="1"/>
  <c r="AB16" i="1" s="1"/>
  <c r="AK16" i="1"/>
  <c r="AJ16" i="1"/>
  <c r="AH16" i="1"/>
  <c r="AG16" i="1"/>
  <c r="AF16" i="1"/>
  <c r="AE16" i="1"/>
  <c r="AD16" i="1"/>
  <c r="Z16" i="1"/>
  <c r="J16" i="1"/>
  <c r="AL16" i="1" s="1"/>
  <c r="I16" i="1"/>
  <c r="H16" i="1"/>
  <c r="BJ15" i="1"/>
  <c r="BF15" i="1"/>
  <c r="BD15" i="1"/>
  <c r="AX15" i="1"/>
  <c r="AV15" i="1" s="1"/>
  <c r="AW15" i="1"/>
  <c r="BC15" i="1" s="1"/>
  <c r="AP15" i="1"/>
  <c r="BI15" i="1" s="1"/>
  <c r="AC15" i="1" s="1"/>
  <c r="AO15" i="1"/>
  <c r="BH15" i="1" s="1"/>
  <c r="AB15" i="1" s="1"/>
  <c r="AK15" i="1"/>
  <c r="AJ15" i="1"/>
  <c r="AH15" i="1"/>
  <c r="AG15" i="1"/>
  <c r="AF15" i="1"/>
  <c r="AE15" i="1"/>
  <c r="AD15" i="1"/>
  <c r="Z15" i="1"/>
  <c r="J15" i="1"/>
  <c r="AL15" i="1" s="1"/>
  <c r="I15" i="1"/>
  <c r="H15" i="1"/>
  <c r="BJ14" i="1"/>
  <c r="BF14" i="1"/>
  <c r="BD14" i="1"/>
  <c r="AX14" i="1"/>
  <c r="AP14" i="1"/>
  <c r="BI14" i="1" s="1"/>
  <c r="AC14" i="1" s="1"/>
  <c r="AO14" i="1"/>
  <c r="AW14" i="1" s="1"/>
  <c r="AL14" i="1"/>
  <c r="AK14" i="1"/>
  <c r="AJ14" i="1"/>
  <c r="C27" i="2" s="1"/>
  <c r="AH14" i="1"/>
  <c r="AG14" i="1"/>
  <c r="AF14" i="1"/>
  <c r="AE14" i="1"/>
  <c r="AD14" i="1"/>
  <c r="Z14" i="1"/>
  <c r="J14" i="1"/>
  <c r="I14" i="1"/>
  <c r="BJ13" i="1"/>
  <c r="BF13" i="1"/>
  <c r="BD13" i="1"/>
  <c r="AP13" i="1"/>
  <c r="BI13" i="1" s="1"/>
  <c r="AC13" i="1" s="1"/>
  <c r="AO13" i="1"/>
  <c r="BH13" i="1" s="1"/>
  <c r="AB13" i="1" s="1"/>
  <c r="AK13" i="1"/>
  <c r="C28" i="2" s="1"/>
  <c r="F28" i="2" s="1"/>
  <c r="AJ13" i="1"/>
  <c r="AH13" i="1"/>
  <c r="AG13" i="1"/>
  <c r="AF13" i="1"/>
  <c r="AE13" i="1"/>
  <c r="AD13" i="1"/>
  <c r="C16" i="2" s="1"/>
  <c r="Z13" i="1"/>
  <c r="C21" i="2" s="1"/>
  <c r="J13" i="1"/>
  <c r="AL13" i="1" s="1"/>
  <c r="AU1" i="1"/>
  <c r="AT1" i="1"/>
  <c r="AS1" i="1"/>
  <c r="AU12" i="1" l="1"/>
  <c r="AV14" i="1"/>
  <c r="BC14" i="1"/>
  <c r="AU17" i="1"/>
  <c r="AU23" i="1"/>
  <c r="I39" i="1"/>
  <c r="BC53" i="1"/>
  <c r="AV53" i="1"/>
  <c r="BC59" i="1"/>
  <c r="AV59" i="1"/>
  <c r="H62" i="1"/>
  <c r="J68" i="1"/>
  <c r="AW80" i="1"/>
  <c r="H80" i="1"/>
  <c r="BC82" i="1"/>
  <c r="AV82" i="1"/>
  <c r="AS12" i="1"/>
  <c r="AX16" i="1"/>
  <c r="AV16" i="1" s="1"/>
  <c r="AX19" i="1"/>
  <c r="BC19" i="1" s="1"/>
  <c r="AW20" i="1"/>
  <c r="AX22" i="1"/>
  <c r="BC22" i="1" s="1"/>
  <c r="AX27" i="1"/>
  <c r="AV29" i="1"/>
  <c r="AX30" i="1"/>
  <c r="AW34" i="1"/>
  <c r="AU39" i="1"/>
  <c r="AX42" i="1"/>
  <c r="I42" i="1"/>
  <c r="AW43" i="1"/>
  <c r="H43" i="1"/>
  <c r="H39" i="1" s="1"/>
  <c r="J39" i="1"/>
  <c r="BC51" i="1"/>
  <c r="AV51" i="1"/>
  <c r="BC74" i="1"/>
  <c r="AV74" i="1"/>
  <c r="AL85" i="1"/>
  <c r="AU84" i="1" s="1"/>
  <c r="J84" i="1"/>
  <c r="J83" i="1" s="1"/>
  <c r="J17" i="1"/>
  <c r="J23" i="1"/>
  <c r="BI31" i="1"/>
  <c r="AC31" i="1" s="1"/>
  <c r="AX31" i="1"/>
  <c r="BH14" i="1"/>
  <c r="AB14" i="1" s="1"/>
  <c r="C14" i="2" s="1"/>
  <c r="H28" i="1"/>
  <c r="AV31" i="1"/>
  <c r="BC31" i="1"/>
  <c r="AL73" i="1"/>
  <c r="C29" i="2" s="1"/>
  <c r="F22" i="2"/>
  <c r="H13" i="1"/>
  <c r="BI30" i="1"/>
  <c r="AC30" i="1" s="1"/>
  <c r="C15" i="2" s="1"/>
  <c r="BH34" i="1"/>
  <c r="AB34" i="1" s="1"/>
  <c r="AU36" i="1"/>
  <c r="AW40" i="1"/>
  <c r="BI42" i="1"/>
  <c r="AC42" i="1" s="1"/>
  <c r="BC44" i="1"/>
  <c r="AV44" i="1"/>
  <c r="AX47" i="1"/>
  <c r="AS56" i="1"/>
  <c r="BC60" i="1"/>
  <c r="AV60" i="1"/>
  <c r="J62" i="1"/>
  <c r="BC63" i="1"/>
  <c r="AV63" i="1"/>
  <c r="BC73" i="1"/>
  <c r="AV73" i="1"/>
  <c r="BC81" i="1"/>
  <c r="AV81" i="1"/>
  <c r="I45" i="3"/>
  <c r="I24" i="2" s="1"/>
  <c r="AW55" i="1"/>
  <c r="H55" i="1"/>
  <c r="H54" i="1" s="1"/>
  <c r="I13" i="1"/>
  <c r="I12" i="1" s="1"/>
  <c r="AW13" i="1"/>
  <c r="H14" i="1"/>
  <c r="AU28" i="1"/>
  <c r="AW66" i="1"/>
  <c r="BH69" i="1"/>
  <c r="AX71" i="1"/>
  <c r="I71" i="1"/>
  <c r="BH80" i="1"/>
  <c r="I84" i="1"/>
  <c r="I83" i="1" s="1"/>
  <c r="BC16" i="1"/>
  <c r="BC26" i="1"/>
  <c r="I22" i="2"/>
  <c r="C20" i="2"/>
  <c r="AX13" i="1"/>
  <c r="I31" i="1"/>
  <c r="I28" i="1" s="1"/>
  <c r="AU33" i="1"/>
  <c r="AW58" i="1"/>
  <c r="H58" i="1"/>
  <c r="H56" i="1" s="1"/>
  <c r="AW87" i="1"/>
  <c r="H87" i="1"/>
  <c r="H84" i="1" s="1"/>
  <c r="AW89" i="1"/>
  <c r="H89" i="1"/>
  <c r="H88" i="1" s="1"/>
  <c r="AW91" i="1"/>
  <c r="H91" i="1"/>
  <c r="H90" i="1" s="1"/>
  <c r="J12" i="1"/>
  <c r="AT12" i="1"/>
  <c r="AV69" i="1"/>
  <c r="BC69" i="1"/>
  <c r="C17" i="2"/>
  <c r="AV25" i="1"/>
  <c r="H33" i="1"/>
  <c r="BH40" i="1"/>
  <c r="AB40" i="1" s="1"/>
  <c r="BC45" i="1"/>
  <c r="AV45" i="1"/>
  <c r="BI47" i="1"/>
  <c r="AC47" i="1" s="1"/>
  <c r="AX57" i="1"/>
  <c r="I57" i="1"/>
  <c r="I56" i="1" s="1"/>
  <c r="AU62" i="1"/>
  <c r="AW72" i="1"/>
  <c r="H72" i="1"/>
  <c r="BC76" i="1"/>
  <c r="AX79" i="1"/>
  <c r="I79" i="1"/>
  <c r="AW93" i="1"/>
  <c r="H93" i="1"/>
  <c r="H92" i="1" s="1"/>
  <c r="I18" i="3"/>
  <c r="AW32" i="1"/>
  <c r="AX34" i="1"/>
  <c r="AW35" i="1"/>
  <c r="AX37" i="1"/>
  <c r="AV37" i="1" s="1"/>
  <c r="AW38" i="1"/>
  <c r="AX40" i="1"/>
  <c r="AW41" i="1"/>
  <c r="BI43" i="1"/>
  <c r="AC43" i="1" s="1"/>
  <c r="BH44" i="1"/>
  <c r="AB44" i="1" s="1"/>
  <c r="BH53" i="1"/>
  <c r="BI55" i="1"/>
  <c r="AG55" i="1" s="1"/>
  <c r="C19" i="2" s="1"/>
  <c r="BI58" i="1"/>
  <c r="AG58" i="1" s="1"/>
  <c r="BH59" i="1"/>
  <c r="AF59" i="1" s="1"/>
  <c r="C18" i="2" s="1"/>
  <c r="AX66" i="1"/>
  <c r="I67" i="1"/>
  <c r="I62" i="1" s="1"/>
  <c r="AW67" i="1"/>
  <c r="AX69" i="1"/>
  <c r="I70" i="1"/>
  <c r="I68" i="1" s="1"/>
  <c r="AW70" i="1"/>
  <c r="H71" i="1"/>
  <c r="H68" i="1" s="1"/>
  <c r="BI72" i="1"/>
  <c r="BH73" i="1"/>
  <c r="AX77" i="1"/>
  <c r="AV77" i="1" s="1"/>
  <c r="I78" i="1"/>
  <c r="AW78" i="1"/>
  <c r="H79" i="1"/>
  <c r="BI80" i="1"/>
  <c r="BH81" i="1"/>
  <c r="I86" i="1"/>
  <c r="AW86" i="1"/>
  <c r="BI87" i="1"/>
  <c r="BI89" i="1"/>
  <c r="BI91" i="1"/>
  <c r="BI93" i="1"/>
  <c r="I27" i="3"/>
  <c r="AX32" i="1"/>
  <c r="AX35" i="1"/>
  <c r="AX38" i="1"/>
  <c r="AX41" i="1"/>
  <c r="AW42" i="1"/>
  <c r="BI44" i="1"/>
  <c r="AC44" i="1" s="1"/>
  <c r="BH45" i="1"/>
  <c r="AB45" i="1" s="1"/>
  <c r="AW57" i="1"/>
  <c r="BI59" i="1"/>
  <c r="AG59" i="1" s="1"/>
  <c r="AX67" i="1"/>
  <c r="AX70" i="1"/>
  <c r="AW71" i="1"/>
  <c r="AX78" i="1"/>
  <c r="AW79" i="1"/>
  <c r="BI81" i="1"/>
  <c r="BH82" i="1"/>
  <c r="AX86" i="1"/>
  <c r="BI45" i="1"/>
  <c r="AC45" i="1" s="1"/>
  <c r="BI60" i="1"/>
  <c r="AG60" i="1" s="1"/>
  <c r="BH61" i="1"/>
  <c r="AF61" i="1" s="1"/>
  <c r="BI63" i="1"/>
  <c r="BH64" i="1"/>
  <c r="BI74" i="1"/>
  <c r="BH75" i="1"/>
  <c r="F29" i="2" l="1"/>
  <c r="I28" i="2"/>
  <c r="I29" i="2" s="1"/>
  <c r="C22" i="2"/>
  <c r="BC71" i="1"/>
  <c r="AV71" i="1"/>
  <c r="AV58" i="1"/>
  <c r="BC58" i="1"/>
  <c r="AV89" i="1"/>
  <c r="BC89" i="1"/>
  <c r="BC13" i="1"/>
  <c r="AV13" i="1"/>
  <c r="AV20" i="1"/>
  <c r="BC20" i="1"/>
  <c r="AV22" i="1"/>
  <c r="AV43" i="1"/>
  <c r="BC43" i="1"/>
  <c r="BC70" i="1"/>
  <c r="AV70" i="1"/>
  <c r="AV87" i="1"/>
  <c r="BC87" i="1"/>
  <c r="H12" i="1"/>
  <c r="AV19" i="1"/>
  <c r="BC86" i="1"/>
  <c r="AV86" i="1"/>
  <c r="AV47" i="1"/>
  <c r="BC47" i="1"/>
  <c r="AU68" i="1"/>
  <c r="AV55" i="1"/>
  <c r="BC55" i="1"/>
  <c r="AV34" i="1"/>
  <c r="BC34" i="1"/>
  <c r="BC41" i="1"/>
  <c r="AV41" i="1"/>
  <c r="AV91" i="1"/>
  <c r="BC91" i="1"/>
  <c r="BC38" i="1"/>
  <c r="AV38" i="1"/>
  <c r="BC78" i="1"/>
  <c r="AV78" i="1"/>
  <c r="BC32" i="1"/>
  <c r="AV32" i="1"/>
  <c r="AV72" i="1"/>
  <c r="BC72" i="1"/>
  <c r="BC37" i="1"/>
  <c r="J94" i="1"/>
  <c r="BC77" i="1"/>
  <c r="BC30" i="1"/>
  <c r="AV30" i="1"/>
  <c r="AV27" i="1"/>
  <c r="BC27" i="1"/>
  <c r="AV93" i="1"/>
  <c r="BC93" i="1"/>
  <c r="AV80" i="1"/>
  <c r="BC80" i="1"/>
  <c r="H83" i="1"/>
  <c r="BC57" i="1"/>
  <c r="AV57" i="1"/>
  <c r="BC35" i="1"/>
  <c r="AV35" i="1"/>
  <c r="BC79" i="1"/>
  <c r="AV79" i="1"/>
  <c r="BC42" i="1"/>
  <c r="AV42" i="1"/>
  <c r="BC67" i="1"/>
  <c r="AV67" i="1"/>
  <c r="F29" i="3"/>
  <c r="AV66" i="1"/>
  <c r="BC66" i="1"/>
  <c r="AV40" i="1"/>
  <c r="BC40" i="1"/>
</calcChain>
</file>

<file path=xl/sharedStrings.xml><?xml version="1.0" encoding="utf-8"?>
<sst xmlns="http://schemas.openxmlformats.org/spreadsheetml/2006/main" count="1103" uniqueCount="364">
  <si>
    <t>Slepý stavební rozpočet</t>
  </si>
  <si>
    <t>Název stavby:</t>
  </si>
  <si>
    <t>Novostavba Chodníku a parkovacích stání ul Fugnerova</t>
  </si>
  <si>
    <t>Doba výstavby:</t>
  </si>
  <si>
    <t>244 dní</t>
  </si>
  <si>
    <t>Objednatel:</t>
  </si>
  <si>
    <t> </t>
  </si>
  <si>
    <t>Druh stavby:</t>
  </si>
  <si>
    <t>Novostavba chodníku a podélného parkovacího stání</t>
  </si>
  <si>
    <t>Začátek výstavby:</t>
  </si>
  <si>
    <t>01.04.2024</t>
  </si>
  <si>
    <t>Projektant:</t>
  </si>
  <si>
    <t>Bau-projekt spol s.r.o.</t>
  </si>
  <si>
    <t>Lokalita:</t>
  </si>
  <si>
    <t>Fugnerova ul. Bílina</t>
  </si>
  <si>
    <t>Konec výstavby:</t>
  </si>
  <si>
    <t>30.11.2024</t>
  </si>
  <si>
    <t>Zhotovitel:</t>
  </si>
  <si>
    <t>JKSO:</t>
  </si>
  <si>
    <t xml:space="preserve"> </t>
  </si>
  <si>
    <t>Zpracováno dne:</t>
  </si>
  <si>
    <t>04.09.2023</t>
  </si>
  <si>
    <t>Zpracoval: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</si>
  <si>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</si>
  <si>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</si>
  <si>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</si>
  <si>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</si>
  <si>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</si>
  <si>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</si>
  <si>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</si>
  <si>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</si>
  <si>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</si>
  <si>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</si>
  <si>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</si>
  <si>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</si>
  <si>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</si>
  <si>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</si>
  <si>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</si>
  <si>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</si>
  <si>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</si>
  <si>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</si>
  <si>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</si>
  <si>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</si>
  <si>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</si>
  <si>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</si>
  <si>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</si>
  <si>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</si>
  <si>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</si>
  <si>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</si>
  <si>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</si>
  <si>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</si>
  <si>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</si>
  <si>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</si>
  <si>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</si>
  <si>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</si>
  <si>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</si>
  <si>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113106000RAB</t>
  </si>
  <si>
    <t>Odstranění zám.dlažby 6 cm vč.podkladu,pl.do 50 m2</t>
  </si>
  <si>
    <t>m2</t>
  </si>
  <si>
    <t>RTS II / 2024</t>
  </si>
  <si>
    <t>11_</t>
  </si>
  <si>
    <t>1_</t>
  </si>
  <si>
    <t>_</t>
  </si>
  <si>
    <t>2</t>
  </si>
  <si>
    <t>113201011RAA</t>
  </si>
  <si>
    <t>Vytrhání obrubníků silničních</t>
  </si>
  <si>
    <t>m</t>
  </si>
  <si>
    <t>3</t>
  </si>
  <si>
    <t>113201012RAA</t>
  </si>
  <si>
    <t>Vytrhání obrubníků chodníkových a parkových</t>
  </si>
  <si>
    <t>4</t>
  </si>
  <si>
    <t>111251119R00</t>
  </si>
  <si>
    <t>Drcení ořezaných větví průměru do 19 cm</t>
  </si>
  <si>
    <t>m3</t>
  </si>
  <si>
    <t>12</t>
  </si>
  <si>
    <t>Odkopávky a prokopávky</t>
  </si>
  <si>
    <t>5</t>
  </si>
  <si>
    <t>121100002RA0</t>
  </si>
  <si>
    <t>Sejmutí ornice a uložení na deponii</t>
  </si>
  <si>
    <t>12_</t>
  </si>
  <si>
    <t>6</t>
  </si>
  <si>
    <t>122100010RAC</t>
  </si>
  <si>
    <t>Odkopávky nezapažené v hornině 1-4</t>
  </si>
  <si>
    <t>7</t>
  </si>
  <si>
    <t>13</t>
  </si>
  <si>
    <t>Hloubené vykopávky</t>
  </si>
  <si>
    <t>8</t>
  </si>
  <si>
    <t>139200010RAA</t>
  </si>
  <si>
    <t>Výkop rýh v uzavřeném prostoru v hornině1-4</t>
  </si>
  <si>
    <t>13_</t>
  </si>
  <si>
    <t>18</t>
  </si>
  <si>
    <t>Povrchové úpravy terénu</t>
  </si>
  <si>
    <t>9</t>
  </si>
  <si>
    <t>181101102R00</t>
  </si>
  <si>
    <t>Úprava pláně v zářezech v hor. 1-4, se zhutněním</t>
  </si>
  <si>
    <t>18_</t>
  </si>
  <si>
    <t>10</t>
  </si>
  <si>
    <t>181301103R00</t>
  </si>
  <si>
    <t>Rozprostření ornice, rovina, tl. 15-20 cm,do 500m2</t>
  </si>
  <si>
    <t>185804312R00</t>
  </si>
  <si>
    <t>Zalití rostlin vodou plochy nad 20 m2</t>
  </si>
  <si>
    <t>184201114RA0</t>
  </si>
  <si>
    <t>Výsadba stromu s balem, v rovině, výšky do 200 cm</t>
  </si>
  <si>
    <t>kus</t>
  </si>
  <si>
    <t>56</t>
  </si>
  <si>
    <t>Podkladní vrstvy komunikací, letišť a ploch</t>
  </si>
  <si>
    <t>564531111R00</t>
  </si>
  <si>
    <t>Zřízení podsypu/podkladu ze sypaniny tl. 10 cm</t>
  </si>
  <si>
    <t>56_</t>
  </si>
  <si>
    <t>5_</t>
  </si>
  <si>
    <t>14</t>
  </si>
  <si>
    <t>568111111R00</t>
  </si>
  <si>
    <t>Zřízení vrstvy z geotextilie skl.do 1:5, š.do 3 m</t>
  </si>
  <si>
    <t>15</t>
  </si>
  <si>
    <t>564851111R00</t>
  </si>
  <si>
    <t>Podklad ze štěrkodrti po zhutnění tloušťky 15 cm</t>
  </si>
  <si>
    <t>16</t>
  </si>
  <si>
    <t>59</t>
  </si>
  <si>
    <t>Kryty pozemních komunikací, letišť a ploch dlážděných (předlažby)</t>
  </si>
  <si>
    <t>17</t>
  </si>
  <si>
    <t>591050020RAA</t>
  </si>
  <si>
    <t>Komunikace z dlažby zámkové dl t.8cm, podklad štěrkodrť</t>
  </si>
  <si>
    <t>59_</t>
  </si>
  <si>
    <t>596215040R00</t>
  </si>
  <si>
    <t>Kladení dlažby tl. 8 cm do drtě</t>
  </si>
  <si>
    <t>89</t>
  </si>
  <si>
    <t>Ostatní konstrukce a práce na trubním vedení</t>
  </si>
  <si>
    <t>19</t>
  </si>
  <si>
    <t>899331111R00</t>
  </si>
  <si>
    <t>Výšková úprava vstupu do 20 cm, zvýšení poklopu</t>
  </si>
  <si>
    <t>89_</t>
  </si>
  <si>
    <t>8_</t>
  </si>
  <si>
    <t>20</t>
  </si>
  <si>
    <t>899231111R00</t>
  </si>
  <si>
    <t>Výšková úprava vstupu do 20 cm, zvýšení mříže</t>
  </si>
  <si>
    <t>91</t>
  </si>
  <si>
    <t>Doplňující konstrukce a práce na pozemních komunikacích a zpevněných plochách</t>
  </si>
  <si>
    <t>21</t>
  </si>
  <si>
    <t>917862111RT8</t>
  </si>
  <si>
    <t>Osazení stojat. obrub.bet. s opěrou,lože z C 12/15</t>
  </si>
  <si>
    <t>91_</t>
  </si>
  <si>
    <t>9_</t>
  </si>
  <si>
    <t>22</t>
  </si>
  <si>
    <t>916661111RT5</t>
  </si>
  <si>
    <t>Osazení park. obrubníků do lože z C 12/15 s opěrou</t>
  </si>
  <si>
    <t>23</t>
  </si>
  <si>
    <t>919735112R00</t>
  </si>
  <si>
    <t>Řezání stávajícího živičného krytu tl. 5 - 10 cm</t>
  </si>
  <si>
    <t>24</t>
  </si>
  <si>
    <t>917732111RT8</t>
  </si>
  <si>
    <t>Osazení ležat. obrub. bet. bez opěr,lože z C 12/15</t>
  </si>
  <si>
    <t>25</t>
  </si>
  <si>
    <t>915712121R00</t>
  </si>
  <si>
    <t>Vodor.značení dělicích čar 25 cm plastem,nehlučné</t>
  </si>
  <si>
    <t>26</t>
  </si>
  <si>
    <t>914001121RT6</t>
  </si>
  <si>
    <t>Osaz.svislé dopr.značky a sloupku,Al patka, základ</t>
  </si>
  <si>
    <t>27</t>
  </si>
  <si>
    <t>914993003R00</t>
  </si>
  <si>
    <t>Demontáž dočasné zábrany vč.sloupků a podstavců</t>
  </si>
  <si>
    <t>28</t>
  </si>
  <si>
    <t>915791111R00</t>
  </si>
  <si>
    <t>Předznačení pro značení dělicí čáry,vodicí proužky</t>
  </si>
  <si>
    <t>93</t>
  </si>
  <si>
    <t>Různé dokončovací konstrukce a práce inženýrských staveb</t>
  </si>
  <si>
    <t>29</t>
  </si>
  <si>
    <t>931627111R00</t>
  </si>
  <si>
    <t>Úprava dilatační spáry asfaltovou izolač. zálivkou</t>
  </si>
  <si>
    <t>kg</t>
  </si>
  <si>
    <t>93_</t>
  </si>
  <si>
    <t>97</t>
  </si>
  <si>
    <t>Prorážení otvorů a ostatní bourací práce</t>
  </si>
  <si>
    <t>30</t>
  </si>
  <si>
    <t>979100014RA0</t>
  </si>
  <si>
    <t>Odvoz suti a vyb.hmot do 15 km, vnitrost. 25 m</t>
  </si>
  <si>
    <t>t</t>
  </si>
  <si>
    <t>97_</t>
  </si>
  <si>
    <t>H22</t>
  </si>
  <si>
    <t>Komunikace pozemní a letiště</t>
  </si>
  <si>
    <t>31</t>
  </si>
  <si>
    <t>998225311R00</t>
  </si>
  <si>
    <t>Přesun hmot, oprava komunikací, kryt živič. a bet.</t>
  </si>
  <si>
    <t>H22_</t>
  </si>
  <si>
    <t>M23</t>
  </si>
  <si>
    <t>Montáže potrubí</t>
  </si>
  <si>
    <t>32</t>
  </si>
  <si>
    <t>230180041R00</t>
  </si>
  <si>
    <t>Montáž trub z plastických hmot PE, PP, 160 x14,7</t>
  </si>
  <si>
    <t>M23_</t>
  </si>
  <si>
    <t>M46</t>
  </si>
  <si>
    <t>Zemní práce při montážích</t>
  </si>
  <si>
    <t>33</t>
  </si>
  <si>
    <t>460030112RT5</t>
  </si>
  <si>
    <t>Kácení stromů průměru nad 30 cm</t>
  </si>
  <si>
    <t>M46_</t>
  </si>
  <si>
    <t>34</t>
  </si>
  <si>
    <t>460030122R00</t>
  </si>
  <si>
    <t>Odstranění pařezů průměru nad 30 cm</t>
  </si>
  <si>
    <t>35</t>
  </si>
  <si>
    <t>460510311R00</t>
  </si>
  <si>
    <t>Chránička kabelová dělená Sitel, DN 110 mm</t>
  </si>
  <si>
    <t>36</t>
  </si>
  <si>
    <t>460620006RT1</t>
  </si>
  <si>
    <t>Osetí povrchu trávou</t>
  </si>
  <si>
    <t>37</t>
  </si>
  <si>
    <t>460030073R00</t>
  </si>
  <si>
    <t>Bourání živičných povrchů tl. vrstvy 10 - 15 cm</t>
  </si>
  <si>
    <t>S</t>
  </si>
  <si>
    <t>Přesuny sutí</t>
  </si>
  <si>
    <t>38</t>
  </si>
  <si>
    <t>979981101R00</t>
  </si>
  <si>
    <t>Kontejner, přistavení na 24 h, odvoz a likvidace, suť bez příměsí, kapacita 3 t</t>
  </si>
  <si>
    <t>S_</t>
  </si>
  <si>
    <t>39</t>
  </si>
  <si>
    <t>979990103R00</t>
  </si>
  <si>
    <t>Poplatek za uložení suti - beton, skupina odpadu 170101</t>
  </si>
  <si>
    <t>RTS I / 2023</t>
  </si>
  <si>
    <t>40</t>
  </si>
  <si>
    <t>979999976R00</t>
  </si>
  <si>
    <t>Poplatek za uložení, zemina a kamení kusovost nad 1600 cm2, (skup.170504)</t>
  </si>
  <si>
    <t>41</t>
  </si>
  <si>
    <t>979081121R00</t>
  </si>
  <si>
    <t>Příplatek k odvozu za každý další 1 km</t>
  </si>
  <si>
    <t>42</t>
  </si>
  <si>
    <t>979990261R00</t>
  </si>
  <si>
    <t>Poplatek za uložení asfaltové směsi obsahující dehet</t>
  </si>
  <si>
    <t>M</t>
  </si>
  <si>
    <t>Ostatní materiál</t>
  </si>
  <si>
    <t>43</t>
  </si>
  <si>
    <t>673909992020</t>
  </si>
  <si>
    <t>Fólie výstražná šířka 20 cm červená síťovina</t>
  </si>
  <si>
    <t>0</t>
  </si>
  <si>
    <t>Z99999_</t>
  </si>
  <si>
    <t>Z_</t>
  </si>
  <si>
    <t>44</t>
  </si>
  <si>
    <t>69365044</t>
  </si>
  <si>
    <t>Geotextilie netkaná Geo RPES 500g 2x50 m</t>
  </si>
  <si>
    <t>45</t>
  </si>
  <si>
    <t>583426851</t>
  </si>
  <si>
    <t>Kamenivo drcené 16/32</t>
  </si>
  <si>
    <t>46</t>
  </si>
  <si>
    <t>58337320</t>
  </si>
  <si>
    <t>Štěrk frakce 4-8</t>
  </si>
  <si>
    <t>47</t>
  </si>
  <si>
    <t>10371500</t>
  </si>
  <si>
    <t>Substrát zahradnický B VL</t>
  </si>
  <si>
    <t>48</t>
  </si>
  <si>
    <t>59224063</t>
  </si>
  <si>
    <t>Prstenec krytu šachty AR-V 625/100  62,5x10x12 cm</t>
  </si>
  <si>
    <t>49</t>
  </si>
  <si>
    <t>592490020</t>
  </si>
  <si>
    <t>Dlažba pro zrakově postižené  200 x 200 mm, tl. 60 mm, červená</t>
  </si>
  <si>
    <t>50</t>
  </si>
  <si>
    <t>3457114750</t>
  </si>
  <si>
    <t>Trubka kabelová chránička dělená SITEL 160/110</t>
  </si>
  <si>
    <t>51</t>
  </si>
  <si>
    <t>3457114752</t>
  </si>
  <si>
    <t>Ohybový díl k chráničce SITEL 160/110 x 230 mm</t>
  </si>
  <si>
    <t>52</t>
  </si>
  <si>
    <t>58942471</t>
  </si>
  <si>
    <t>Beton asfaltový pro obrusné vrstvy ACO 16</t>
  </si>
  <si>
    <t>53</t>
  </si>
  <si>
    <t>592452561</t>
  </si>
  <si>
    <t>Dlažba zatravňovací  přírodní v. 80 mm 20x20</t>
  </si>
  <si>
    <t>54</t>
  </si>
  <si>
    <t>59224010</t>
  </si>
  <si>
    <t>Prstenec ke krytu šachty AR 625 x 40 mm</t>
  </si>
  <si>
    <t>55</t>
  </si>
  <si>
    <t>592468040</t>
  </si>
  <si>
    <t>Dlažba betonová 250 x 250 x 60 mm hladká -- lemování hm prvků - barva šedá - rovinné desky</t>
  </si>
  <si>
    <t>02656048</t>
  </si>
  <si>
    <t>Lípa evropská 12-14 min</t>
  </si>
  <si>
    <t>VORN</t>
  </si>
  <si>
    <t>Vedlejší a ostatní rozpočtové náklady</t>
  </si>
  <si>
    <t>01VRN</t>
  </si>
  <si>
    <t>Průzkumy, geodetické a projektové práce</t>
  </si>
  <si>
    <t>57</t>
  </si>
  <si>
    <t>012002VRN</t>
  </si>
  <si>
    <t>Geodetické práce</t>
  </si>
  <si>
    <t>Soubor</t>
  </si>
  <si>
    <t>99</t>
  </si>
  <si>
    <t>01VRN_</t>
  </si>
  <si>
    <t>Â _</t>
  </si>
  <si>
    <t>58</t>
  </si>
  <si>
    <t>013002VRN</t>
  </si>
  <si>
    <t>Projektové práce</t>
  </si>
  <si>
    <t>Projektové práce - realizační PD</t>
  </si>
  <si>
    <t>03VRN</t>
  </si>
  <si>
    <t>Zařízení staveniště</t>
  </si>
  <si>
    <t>60</t>
  </si>
  <si>
    <t>030001VRN</t>
  </si>
  <si>
    <t>03VRN_</t>
  </si>
  <si>
    <t>04VRN</t>
  </si>
  <si>
    <t>Inženýrské činnosti</t>
  </si>
  <si>
    <t>61</t>
  </si>
  <si>
    <t>043002VRN</t>
  </si>
  <si>
    <t>Zkoušky</t>
  </si>
  <si>
    <t>04VRN_</t>
  </si>
  <si>
    <t>07VRN</t>
  </si>
  <si>
    <t>Provozní vlivy</t>
  </si>
  <si>
    <t>62</t>
  </si>
  <si>
    <t>072002VRN</t>
  </si>
  <si>
    <t>Silniční provoz - DIO, DIR a dopravní značení</t>
  </si>
  <si>
    <t>07VRN_</t>
  </si>
  <si>
    <t>Celkem:</t>
  </si>
  <si>
    <t>Poznámka:</t>
  </si>
  <si>
    <t>Krycí list slepého rozpočtu</t>
  </si>
  <si>
    <t>IČO/DIČ:</t>
  </si>
  <si>
    <t>45539103/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</si>
  <si>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</si>
  <si>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</si>
  <si>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</si>
  <si>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</si>
  <si>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</si>
  <si>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</si>
  <si>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</si>
  <si>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</si>
  <si>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</si>
  <si>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</si>
  <si>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</si>
  <si>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</si>
  <si>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</si>
  <si>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</si>
  <si>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</si>
  <si>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</si>
  <si>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</si>
  <si>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</si>
  <si>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</si>
  <si>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</si>
  <si>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</si>
  <si>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</si>
  <si>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</si>
  <si>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</si>
  <si>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</si>
  <si>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</si>
  <si>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</si>
  <si>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</si>
  <si>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</si>
  <si>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</si>
  <si>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</si>
  <si>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</si>
  <si>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</si>
  <si>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</si>
  <si>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</si>
  <si>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</si>
  <si>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</si>
  <si>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</si>
  <si>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</si>
  <si>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</si>
  <si>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</si>
  <si>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</si>
  <si>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</si>
  <si>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</si>
  <si>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</si>
  <si>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</si>
  <si>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</si>
  <si>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</si>
  <si>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</si>
  <si>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</si>
  <si>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Finanční náklady</t>
  </si>
  <si>
    <t>Náklady na pracovníky</t>
  </si>
  <si>
    <t>Ostatní náklady</t>
  </si>
  <si>
    <t>Vlastní VORN</t>
  </si>
  <si>
    <t>Celkem VORN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</si>
</sst>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3" fillId="2" borderId="28" xfId="0" applyNumberFormat="1" applyFont="1" applyFill="1" applyBorder="1" applyAlignment="1" applyProtection="1">
      <alignment horizontal="left" vertical="center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3" fillId="2" borderId="29" xfId="0" applyNumberFormat="1" applyFont="1" applyFill="1" applyBorder="1" applyAlignment="1" applyProtection="1">
      <alignment horizontal="left" vertical="center"/>
    </xf>
    <xf numFmtId="4" fontId="2" fillId="2" borderId="29" xfId="0" applyNumberFormat="1" applyFont="1" applyFill="1" applyBorder="1" applyAlignment="1" applyProtection="1">
      <alignment horizontal="right" vertical="center"/>
    </xf>
    <xf numFmtId="0" fontId="2" fillId="2" borderId="3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/>
    </xf>
    <xf numFmtId="4" fontId="3" fillId="0" borderId="32" xfId="0" applyNumberFormat="1" applyFont="1" applyFill="1" applyBorder="1" applyAlignment="1" applyProtection="1">
      <alignment horizontal="right" vertical="center"/>
    </xf>
    <xf numFmtId="0" fontId="3" fillId="0" borderId="33" xfId="0" applyNumberFormat="1" applyFont="1" applyFill="1" applyBorder="1" applyAlignment="1" applyProtection="1">
      <alignment horizontal="right" vertical="center"/>
    </xf>
    <xf numFmtId="4" fontId="2" fillId="0" borderId="34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6" fillId="2" borderId="36" xfId="0" applyNumberFormat="1" applyFont="1" applyFill="1" applyBorder="1" applyAlignment="1" applyProtection="1">
      <alignment horizontal="center" vertical="center"/>
    </xf>
    <xf numFmtId="0" fontId="6" fillId="2" borderId="39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9" fillId="0" borderId="41" xfId="0" applyNumberFormat="1" applyFont="1" applyFill="1" applyBorder="1" applyAlignment="1" applyProtection="1">
      <alignment horizontal="left" vertical="center"/>
    </xf>
    <xf numFmtId="4" fontId="9" fillId="0" borderId="41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right" vertical="center"/>
    </xf>
    <xf numFmtId="0" fontId="8" fillId="0" borderId="44" xfId="0" applyNumberFormat="1" applyFont="1" applyFill="1" applyBorder="1" applyAlignment="1" applyProtection="1">
      <alignment horizontal="left" vertical="center"/>
    </xf>
    <xf numFmtId="4" fontId="9" fillId="0" borderId="48" xfId="0" applyNumberFormat="1" applyFont="1" applyFill="1" applyBorder="1" applyAlignment="1" applyProtection="1">
      <alignment horizontal="right" vertical="center"/>
    </xf>
    <xf numFmtId="0" fontId="9" fillId="0" borderId="48" xfId="0" applyNumberFormat="1" applyFont="1" applyFill="1" applyBorder="1" applyAlignment="1" applyProtection="1">
      <alignment horizontal="right" vertical="center"/>
    </xf>
    <xf numFmtId="4" fontId="9" fillId="0" borderId="39" xfId="0" applyNumberFormat="1" applyFont="1" applyFill="1" applyBorder="1" applyAlignment="1" applyProtection="1">
      <alignment horizontal="right" vertical="center"/>
    </xf>
    <xf numFmtId="4" fontId="9" fillId="0" borderId="25" xfId="0" applyNumberFormat="1" applyFont="1" applyFill="1" applyBorder="1" applyAlignment="1" applyProtection="1">
      <alignment horizontal="right" vertical="center"/>
    </xf>
    <xf numFmtId="4" fontId="8" fillId="2" borderId="38" xfId="0" applyNumberFormat="1" applyFont="1" applyFill="1" applyBorder="1" applyAlignment="1" applyProtection="1">
      <alignment horizontal="right" vertical="center"/>
    </xf>
    <xf numFmtId="4" fontId="8" fillId="2" borderId="43" xfId="0" applyNumberFormat="1" applyFont="1" applyFill="1" applyBorder="1" applyAlignment="1" applyProtection="1">
      <alignment horizontal="right" vertical="center"/>
    </xf>
    <xf numFmtId="0" fontId="4" fillId="0" borderId="29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right" vertical="center"/>
    </xf>
    <xf numFmtId="4" fontId="3" fillId="0" borderId="41" xfId="0" applyNumberFormat="1" applyFont="1" applyFill="1" applyBorder="1" applyAlignment="1" applyProtection="1">
      <alignment horizontal="right" vertical="center"/>
    </xf>
    <xf numFmtId="0" fontId="3" fillId="0" borderId="41" xfId="0" applyNumberFormat="1" applyFont="1" applyFill="1" applyBorder="1" applyAlignment="1" applyProtection="1">
      <alignment horizontal="left" vertical="center"/>
    </xf>
    <xf numFmtId="4" fontId="3" fillId="0" borderId="68" xfId="0" applyNumberFormat="1" applyFont="1" applyFill="1" applyBorder="1" applyAlignment="1" applyProtection="1">
      <alignment horizontal="right" vertical="center"/>
    </xf>
    <xf numFmtId="0" fontId="3" fillId="0" borderId="68" xfId="0" applyNumberFormat="1" applyFont="1" applyFill="1" applyBorder="1" applyAlignment="1" applyProtection="1">
      <alignment horizontal="left" vertical="center"/>
    </xf>
    <xf numFmtId="0" fontId="2" fillId="0" borderId="72" xfId="0" applyNumberFormat="1" applyFont="1" applyFill="1" applyBorder="1" applyAlignment="1" applyProtection="1">
      <alignment horizontal="left" vertical="center"/>
    </xf>
    <xf numFmtId="0" fontId="2" fillId="0" borderId="72" xfId="0" applyNumberFormat="1" applyFont="1" applyFill="1" applyBorder="1" applyAlignment="1" applyProtection="1">
      <alignment horizontal="right" vertical="center"/>
    </xf>
    <xf numFmtId="4" fontId="2" fillId="0" borderId="7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2" borderId="29" xfId="0" applyNumberFormat="1" applyFont="1" applyFill="1" applyBorder="1" applyAlignment="1" applyProtection="1">
      <alignment horizontal="left" vertical="center" wrapText="1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 wrapText="1"/>
    </xf>
    <xf numFmtId="0" fontId="3" fillId="0" borderId="32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left" vertical="center"/>
    </xf>
    <xf numFmtId="1" fontId="3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33" xfId="0" applyNumberFormat="1" applyFont="1" applyFill="1" applyBorder="1" applyAlignment="1" applyProtection="1">
      <alignment horizontal="left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left" vertical="center"/>
    </xf>
    <xf numFmtId="0" fontId="7" fillId="0" borderId="38" xfId="0" applyNumberFormat="1" applyFont="1" applyFill="1" applyBorder="1" applyAlignment="1" applyProtection="1">
      <alignment horizontal="left" vertical="center"/>
    </xf>
    <xf numFmtId="0" fontId="8" fillId="0" borderId="45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8" fillId="0" borderId="47" xfId="0" applyNumberFormat="1" applyFont="1" applyFill="1" applyBorder="1" applyAlignment="1" applyProtection="1">
      <alignment horizontal="left" vertical="center"/>
    </xf>
    <xf numFmtId="0" fontId="8" fillId="0" borderId="50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9" fillId="0" borderId="42" xfId="0" applyNumberFormat="1" applyFont="1" applyFill="1" applyBorder="1" applyAlignment="1" applyProtection="1">
      <alignment horizontal="left" vertical="center"/>
    </xf>
    <xf numFmtId="0" fontId="9" fillId="0" borderId="43" xfId="0" applyNumberFormat="1" applyFont="1" applyFill="1" applyBorder="1" applyAlignment="1" applyProtection="1">
      <alignment horizontal="left" vertical="center"/>
    </xf>
    <xf numFmtId="0" fontId="9" fillId="0" borderId="49" xfId="0" applyNumberFormat="1" applyFont="1" applyFill="1" applyBorder="1" applyAlignment="1" applyProtection="1">
      <alignment horizontal="left" vertical="center"/>
    </xf>
    <xf numFmtId="0" fontId="9" fillId="0" borderId="47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8" fillId="2" borderId="50" xfId="0" applyNumberFormat="1" applyFont="1" applyFill="1" applyBorder="1" applyAlignment="1" applyProtection="1">
      <alignment horizontal="left" vertical="center"/>
    </xf>
    <xf numFmtId="0" fontId="8" fillId="2" borderId="51" xfId="0" applyNumberFormat="1" applyFont="1" applyFill="1" applyBorder="1" applyAlignment="1" applyProtection="1">
      <alignment horizontal="left" vertical="center"/>
    </xf>
    <xf numFmtId="0" fontId="8" fillId="2" borderId="45" xfId="0" applyNumberFormat="1" applyFont="1" applyFill="1" applyBorder="1" applyAlignment="1" applyProtection="1">
      <alignment horizontal="left" vertical="center"/>
    </xf>
    <xf numFmtId="0" fontId="8" fillId="2" borderId="52" xfId="0" applyNumberFormat="1" applyFont="1" applyFill="1" applyBorder="1" applyAlignment="1" applyProtection="1">
      <alignment horizontal="left" vertical="center"/>
    </xf>
    <xf numFmtId="0" fontId="8" fillId="2" borderId="37" xfId="0" applyNumberFormat="1" applyFont="1" applyFill="1" applyBorder="1" applyAlignment="1" applyProtection="1">
      <alignment horizontal="left" vertical="center"/>
    </xf>
    <xf numFmtId="0" fontId="8" fillId="2" borderId="42" xfId="0" applyNumberFormat="1" applyFont="1" applyFill="1" applyBorder="1" applyAlignment="1" applyProtection="1">
      <alignment horizontal="left" vertical="center"/>
    </xf>
    <xf numFmtId="0" fontId="9" fillId="0" borderId="53" xfId="0" applyNumberFormat="1" applyFont="1" applyFill="1" applyBorder="1" applyAlignment="1" applyProtection="1">
      <alignment horizontal="left" vertical="center"/>
    </xf>
    <xf numFmtId="0" fontId="9" fillId="0" borderId="54" xfId="0" applyNumberFormat="1" applyFont="1" applyFill="1" applyBorder="1" applyAlignment="1" applyProtection="1">
      <alignment horizontal="left" vertical="center"/>
    </xf>
    <xf numFmtId="0" fontId="9" fillId="0" borderId="55" xfId="0" applyNumberFormat="1" applyFont="1" applyFill="1" applyBorder="1" applyAlignment="1" applyProtection="1">
      <alignment horizontal="left" vertical="center"/>
    </xf>
    <xf numFmtId="0" fontId="9" fillId="0" borderId="57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58" xfId="0" applyNumberFormat="1" applyFont="1" applyFill="1" applyBorder="1" applyAlignment="1" applyProtection="1">
      <alignment horizontal="left" vertical="center"/>
    </xf>
    <xf numFmtId="0" fontId="9" fillId="0" borderId="60" xfId="0" applyNumberFormat="1" applyFont="1" applyFill="1" applyBorder="1" applyAlignment="1" applyProtection="1">
      <alignment horizontal="left" vertical="center"/>
    </xf>
    <xf numFmtId="0" fontId="9" fillId="0" borderId="61" xfId="0" applyNumberFormat="1" applyFont="1" applyFill="1" applyBorder="1" applyAlignment="1" applyProtection="1">
      <alignment horizontal="left" vertical="center"/>
    </xf>
    <xf numFmtId="0" fontId="9" fillId="0" borderId="62" xfId="0" applyNumberFormat="1" applyFont="1" applyFill="1" applyBorder="1" applyAlignment="1" applyProtection="1">
      <alignment horizontal="left" vertical="center"/>
    </xf>
    <xf numFmtId="0" fontId="9" fillId="0" borderId="56" xfId="0" applyNumberFormat="1" applyFont="1" applyFill="1" applyBorder="1" applyAlignment="1" applyProtection="1">
      <alignment horizontal="left" vertical="center"/>
    </xf>
    <xf numFmtId="0" fontId="9" fillId="0" borderId="59" xfId="0" applyNumberFormat="1" applyFont="1" applyFill="1" applyBorder="1" applyAlignment="1" applyProtection="1">
      <alignment horizontal="left" vertical="center"/>
    </xf>
    <xf numFmtId="0" fontId="9" fillId="0" borderId="63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67" xfId="0" applyNumberFormat="1" applyFont="1" applyFill="1" applyBorder="1" applyAlignment="1" applyProtection="1">
      <alignment horizontal="lef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left" vertical="center"/>
    </xf>
    <xf numFmtId="0" fontId="2" fillId="0" borderId="71" xfId="0" applyNumberFormat="1" applyFont="1" applyFill="1" applyBorder="1" applyAlignment="1" applyProtection="1">
      <alignment horizontal="left" vertical="center"/>
    </xf>
    <xf numFmtId="0" fontId="8" fillId="0" borderId="69" xfId="0" applyNumberFormat="1" applyFont="1" applyFill="1" applyBorder="1" applyAlignment="1" applyProtection="1">
      <alignment horizontal="left" vertical="center"/>
    </xf>
    <xf numFmtId="0" fontId="8" fillId="0" borderId="70" xfId="0" applyNumberFormat="1" applyFont="1" applyFill="1" applyBorder="1" applyAlignment="1" applyProtection="1">
      <alignment horizontal="left" vertical="center"/>
    </xf>
    <xf numFmtId="0" fontId="8" fillId="0" borderId="71" xfId="0" applyNumberFormat="1" applyFont="1" applyFill="1" applyBorder="1" applyAlignment="1" applyProtection="1">
      <alignment horizontal="left" vertical="center"/>
    </xf>
    <xf numFmtId="4" fontId="8" fillId="0" borderId="73" xfId="0" applyNumberFormat="1" applyFont="1" applyFill="1" applyBorder="1" applyAlignment="1" applyProtection="1">
      <alignment horizontal="right" vertical="center"/>
    </xf>
    <xf numFmtId="0" fontId="8" fillId="0" borderId="70" xfId="0" applyNumberFormat="1" applyFont="1" applyFill="1" applyBorder="1" applyAlignment="1" applyProtection="1">
      <alignment horizontal="right" vertical="center"/>
    </xf>
    <xf numFmtId="0" fontId="8" fillId="0" borderId="7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6"/>
  <sheetViews>
    <sheetView tabSelected="1" workbookViewId="0">
      <pane ySplit="11" topLeftCell="A12" activePane="bottomLeft" state="frozen"/>
      <selection pane="bottomLeft" activeCell="A96" sqref="A96:K96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28.570312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60" t="s">
        <v>1</v>
      </c>
      <c r="B2" s="61"/>
      <c r="C2" s="69" t="s">
        <v>2</v>
      </c>
      <c r="D2" s="70"/>
      <c r="E2" s="61" t="s">
        <v>3</v>
      </c>
      <c r="F2" s="61"/>
      <c r="G2" s="61" t="s">
        <v>4</v>
      </c>
      <c r="H2" s="67" t="s">
        <v>5</v>
      </c>
      <c r="I2" s="61" t="s">
        <v>6</v>
      </c>
      <c r="J2" s="61"/>
      <c r="K2" s="72"/>
    </row>
    <row r="3" spans="1:76" x14ac:dyDescent="0.25">
      <c r="A3" s="62"/>
      <c r="B3" s="63"/>
      <c r="C3" s="71"/>
      <c r="D3" s="71"/>
      <c r="E3" s="63"/>
      <c r="F3" s="63"/>
      <c r="G3" s="63"/>
      <c r="H3" s="63"/>
      <c r="I3" s="63"/>
      <c r="J3" s="63"/>
      <c r="K3" s="73"/>
    </row>
    <row r="4" spans="1:76" x14ac:dyDescent="0.25">
      <c r="A4" s="64" t="s">
        <v>7</v>
      </c>
      <c r="B4" s="63"/>
      <c r="C4" s="68" t="s">
        <v>8</v>
      </c>
      <c r="D4" s="63"/>
      <c r="E4" s="63" t="s">
        <v>9</v>
      </c>
      <c r="F4" s="63"/>
      <c r="G4" s="63" t="s">
        <v>10</v>
      </c>
      <c r="H4" s="68" t="s">
        <v>11</v>
      </c>
      <c r="I4" s="68" t="s">
        <v>12</v>
      </c>
      <c r="J4" s="63"/>
      <c r="K4" s="73"/>
    </row>
    <row r="5" spans="1:76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73"/>
    </row>
    <row r="6" spans="1:76" x14ac:dyDescent="0.25">
      <c r="A6" s="64" t="s">
        <v>13</v>
      </c>
      <c r="B6" s="63"/>
      <c r="C6" s="68" t="s">
        <v>14</v>
      </c>
      <c r="D6" s="63"/>
      <c r="E6" s="63" t="s">
        <v>15</v>
      </c>
      <c r="F6" s="63"/>
      <c r="G6" s="63" t="s">
        <v>16</v>
      </c>
      <c r="H6" s="68" t="s">
        <v>17</v>
      </c>
      <c r="I6" s="63" t="s">
        <v>6</v>
      </c>
      <c r="J6" s="63"/>
      <c r="K6" s="73"/>
    </row>
    <row r="7" spans="1:76" x14ac:dyDescent="0.25">
      <c r="A7" s="62"/>
      <c r="B7" s="63"/>
      <c r="C7" s="63"/>
      <c r="D7" s="63"/>
      <c r="E7" s="63"/>
      <c r="F7" s="63"/>
      <c r="G7" s="63"/>
      <c r="H7" s="63"/>
      <c r="I7" s="63"/>
      <c r="J7" s="63"/>
      <c r="K7" s="73"/>
    </row>
    <row r="8" spans="1:76" x14ac:dyDescent="0.25">
      <c r="A8" s="64" t="s">
        <v>18</v>
      </c>
      <c r="B8" s="63"/>
      <c r="C8" s="68" t="s">
        <v>19</v>
      </c>
      <c r="D8" s="63"/>
      <c r="E8" s="63" t="s">
        <v>20</v>
      </c>
      <c r="F8" s="63"/>
      <c r="G8" s="63" t="s">
        <v>21</v>
      </c>
      <c r="H8" s="68" t="s">
        <v>22</v>
      </c>
      <c r="I8" s="63" t="s">
        <v>6</v>
      </c>
      <c r="J8" s="63"/>
      <c r="K8" s="73"/>
    </row>
    <row r="9" spans="1:76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74"/>
    </row>
    <row r="10" spans="1:76" x14ac:dyDescent="0.25">
      <c r="A10" s="5" t="s">
        <v>23</v>
      </c>
      <c r="B10" s="6" t="s">
        <v>24</v>
      </c>
      <c r="C10" s="75" t="s">
        <v>25</v>
      </c>
      <c r="D10" s="76"/>
      <c r="E10" s="6" t="s">
        <v>26</v>
      </c>
      <c r="F10" s="7" t="s">
        <v>27</v>
      </c>
      <c r="G10" s="8" t="s">
        <v>28</v>
      </c>
      <c r="H10" s="79" t="s">
        <v>29</v>
      </c>
      <c r="I10" s="80"/>
      <c r="J10" s="81"/>
      <c r="K10" s="9" t="s">
        <v>30</v>
      </c>
      <c r="BK10" s="10" t="s">
        <v>31</v>
      </c>
      <c r="BL10" s="11" t="s">
        <v>32</v>
      </c>
      <c r="BW10" s="11" t="s">
        <v>33</v>
      </c>
    </row>
    <row r="11" spans="1:76" x14ac:dyDescent="0.25">
      <c r="A11" s="12" t="s">
        <v>19</v>
      </c>
      <c r="B11" s="13" t="s">
        <v>19</v>
      </c>
      <c r="C11" s="77" t="s">
        <v>34</v>
      </c>
      <c r="D11" s="78"/>
      <c r="E11" s="13" t="s">
        <v>19</v>
      </c>
      <c r="F11" s="13" t="s">
        <v>19</v>
      </c>
      <c r="G11" s="14" t="s">
        <v>35</v>
      </c>
      <c r="H11" s="15" t="s">
        <v>36</v>
      </c>
      <c r="I11" s="16" t="s">
        <v>37</v>
      </c>
      <c r="J11" s="17" t="s">
        <v>38</v>
      </c>
      <c r="K11" s="18" t="s">
        <v>39</v>
      </c>
      <c r="Z11" s="10" t="s">
        <v>40</v>
      </c>
      <c r="AA11" s="10" t="s">
        <v>41</v>
      </c>
      <c r="AB11" s="10" t="s">
        <v>42</v>
      </c>
      <c r="AC11" s="10" t="s">
        <v>43</v>
      </c>
      <c r="AD11" s="10" t="s">
        <v>44</v>
      </c>
      <c r="AE11" s="10" t="s">
        <v>45</v>
      </c>
      <c r="AF11" s="10" t="s">
        <v>46</v>
      </c>
      <c r="AG11" s="10" t="s">
        <v>47</v>
      </c>
      <c r="AH11" s="10" t="s">
        <v>48</v>
      </c>
      <c r="BH11" s="10" t="s">
        <v>49</v>
      </c>
      <c r="BI11" s="10" t="s">
        <v>50</v>
      </c>
      <c r="BJ11" s="10" t="s">
        <v>51</v>
      </c>
    </row>
    <row r="12" spans="1:76" x14ac:dyDescent="0.25">
      <c r="A12" s="19" t="s">
        <v>52</v>
      </c>
      <c r="B12" s="20" t="s">
        <v>53</v>
      </c>
      <c r="C12" s="82" t="s">
        <v>54</v>
      </c>
      <c r="D12" s="83"/>
      <c r="E12" s="21" t="s">
        <v>19</v>
      </c>
      <c r="F12" s="21" t="s">
        <v>19</v>
      </c>
      <c r="G12" s="21" t="s">
        <v>19</v>
      </c>
      <c r="H12" s="22">
        <f>SUM(H13:H16)</f>
        <v>0</v>
      </c>
      <c r="I12" s="22">
        <f>SUM(I13:I16)</f>
        <v>0</v>
      </c>
      <c r="J12" s="22">
        <f>SUM(J13:J16)</f>
        <v>0</v>
      </c>
      <c r="K12" s="23" t="s">
        <v>52</v>
      </c>
      <c r="AI12" s="10" t="s">
        <v>52</v>
      </c>
      <c r="AS12" s="1">
        <f>SUM(AJ13:AJ16)</f>
        <v>0</v>
      </c>
      <c r="AT12" s="1">
        <f>SUM(AK13:AK16)</f>
        <v>0</v>
      </c>
      <c r="AU12" s="1">
        <f>SUM(AL13:AL16)</f>
        <v>0</v>
      </c>
    </row>
    <row r="13" spans="1:76" x14ac:dyDescent="0.25">
      <c r="A13" s="2" t="s">
        <v>55</v>
      </c>
      <c r="B13" s="3" t="s">
        <v>56</v>
      </c>
      <c r="C13" s="68" t="s">
        <v>57</v>
      </c>
      <c r="D13" s="63"/>
      <c r="E13" s="3" t="s">
        <v>58</v>
      </c>
      <c r="F13" s="24">
        <v>252</v>
      </c>
      <c r="G13" s="24">
        <v>0</v>
      </c>
      <c r="H13" s="24">
        <f>F13*AO13</f>
        <v>0</v>
      </c>
      <c r="I13" s="24">
        <f>F13*AP13</f>
        <v>0</v>
      </c>
      <c r="J13" s="24">
        <f>F13*G13</f>
        <v>0</v>
      </c>
      <c r="K13" s="25" t="s">
        <v>59</v>
      </c>
      <c r="Z13" s="24">
        <f>IF(AQ13="5",BJ13,0)</f>
        <v>0</v>
      </c>
      <c r="AB13" s="24">
        <f>IF(AQ13="1",BH13,0)</f>
        <v>0</v>
      </c>
      <c r="AC13" s="24">
        <f>IF(AQ13="1",BI13,0)</f>
        <v>0</v>
      </c>
      <c r="AD13" s="24">
        <f>IF(AQ13="7",BH13,0)</f>
        <v>0</v>
      </c>
      <c r="AE13" s="24">
        <f>IF(AQ13="7",BI13,0)</f>
        <v>0</v>
      </c>
      <c r="AF13" s="24">
        <f>IF(AQ13="2",BH13,0)</f>
        <v>0</v>
      </c>
      <c r="AG13" s="24">
        <f>IF(AQ13="2",BI13,0)</f>
        <v>0</v>
      </c>
      <c r="AH13" s="24">
        <f>IF(AQ13="0",BJ13,0)</f>
        <v>0</v>
      </c>
      <c r="AI13" s="10" t="s">
        <v>52</v>
      </c>
      <c r="AJ13" s="24">
        <f>IF(AN13=0,J13,0)</f>
        <v>0</v>
      </c>
      <c r="AK13" s="24">
        <f>IF(AN13=12,J13,0)</f>
        <v>0</v>
      </c>
      <c r="AL13" s="24">
        <f>IF(AN13=21,J13,0)</f>
        <v>0</v>
      </c>
      <c r="AN13" s="24">
        <v>21</v>
      </c>
      <c r="AO13" s="24">
        <f>G13*0</f>
        <v>0</v>
      </c>
      <c r="AP13" s="24">
        <f>G13*(1-0)</f>
        <v>0</v>
      </c>
      <c r="AQ13" s="26" t="s">
        <v>55</v>
      </c>
      <c r="AV13" s="24">
        <f>AW13+AX13</f>
        <v>0</v>
      </c>
      <c r="AW13" s="24">
        <f>F13*AO13</f>
        <v>0</v>
      </c>
      <c r="AX13" s="24">
        <f>F13*AP13</f>
        <v>0</v>
      </c>
      <c r="AY13" s="26" t="s">
        <v>60</v>
      </c>
      <c r="AZ13" s="26" t="s">
        <v>61</v>
      </c>
      <c r="BA13" s="10" t="s">
        <v>62</v>
      </c>
      <c r="BC13" s="24">
        <f>AW13+AX13</f>
        <v>0</v>
      </c>
      <c r="BD13" s="24">
        <f>G13/(100-BE13)*100</f>
        <v>0</v>
      </c>
      <c r="BE13" s="24">
        <v>0</v>
      </c>
      <c r="BF13" s="24">
        <f>13</f>
        <v>13</v>
      </c>
      <c r="BH13" s="24">
        <f>F13*AO13</f>
        <v>0</v>
      </c>
      <c r="BI13" s="24">
        <f>F13*AP13</f>
        <v>0</v>
      </c>
      <c r="BJ13" s="24">
        <f>F13*G13</f>
        <v>0</v>
      </c>
      <c r="BK13" s="24"/>
      <c r="BL13" s="24">
        <v>11</v>
      </c>
      <c r="BW13" s="24">
        <v>21</v>
      </c>
      <c r="BX13" s="4" t="s">
        <v>57</v>
      </c>
    </row>
    <row r="14" spans="1:76" x14ac:dyDescent="0.25">
      <c r="A14" s="2" t="s">
        <v>63</v>
      </c>
      <c r="B14" s="3" t="s">
        <v>64</v>
      </c>
      <c r="C14" s="68" t="s">
        <v>65</v>
      </c>
      <c r="D14" s="63"/>
      <c r="E14" s="3" t="s">
        <v>66</v>
      </c>
      <c r="F14" s="24">
        <v>98</v>
      </c>
      <c r="G14" s="24">
        <v>0</v>
      </c>
      <c r="H14" s="24">
        <f>F14*AO14</f>
        <v>0</v>
      </c>
      <c r="I14" s="24">
        <f>F14*AP14</f>
        <v>0</v>
      </c>
      <c r="J14" s="24">
        <f>F14*G14</f>
        <v>0</v>
      </c>
      <c r="K14" s="25" t="s">
        <v>59</v>
      </c>
      <c r="Z14" s="24">
        <f>IF(AQ14="5",BJ14,0)</f>
        <v>0</v>
      </c>
      <c r="AB14" s="24">
        <f>IF(AQ14="1",BH14,0)</f>
        <v>0</v>
      </c>
      <c r="AC14" s="24">
        <f>IF(AQ14="1",BI14,0)</f>
        <v>0</v>
      </c>
      <c r="AD14" s="24">
        <f>IF(AQ14="7",BH14,0)</f>
        <v>0</v>
      </c>
      <c r="AE14" s="24">
        <f>IF(AQ14="7",BI14,0)</f>
        <v>0</v>
      </c>
      <c r="AF14" s="24">
        <f>IF(AQ14="2",BH14,0)</f>
        <v>0</v>
      </c>
      <c r="AG14" s="24">
        <f>IF(AQ14="2",BI14,0)</f>
        <v>0</v>
      </c>
      <c r="AH14" s="24">
        <f>IF(AQ14="0",BJ14,0)</f>
        <v>0</v>
      </c>
      <c r="AI14" s="10" t="s">
        <v>52</v>
      </c>
      <c r="AJ14" s="24">
        <f>IF(AN14=0,J14,0)</f>
        <v>0</v>
      </c>
      <c r="AK14" s="24">
        <f>IF(AN14=12,J14,0)</f>
        <v>0</v>
      </c>
      <c r="AL14" s="24">
        <f>IF(AN14=21,J14,0)</f>
        <v>0</v>
      </c>
      <c r="AN14" s="24">
        <v>21</v>
      </c>
      <c r="AO14" s="24">
        <f>G14*0</f>
        <v>0</v>
      </c>
      <c r="AP14" s="24">
        <f>G14*(1-0)</f>
        <v>0</v>
      </c>
      <c r="AQ14" s="26" t="s">
        <v>55</v>
      </c>
      <c r="AV14" s="24">
        <f>AW14+AX14</f>
        <v>0</v>
      </c>
      <c r="AW14" s="24">
        <f>F14*AO14</f>
        <v>0</v>
      </c>
      <c r="AX14" s="24">
        <f>F14*AP14</f>
        <v>0</v>
      </c>
      <c r="AY14" s="26" t="s">
        <v>60</v>
      </c>
      <c r="AZ14" s="26" t="s">
        <v>61</v>
      </c>
      <c r="BA14" s="10" t="s">
        <v>62</v>
      </c>
      <c r="BC14" s="24">
        <f>AW14+AX14</f>
        <v>0</v>
      </c>
      <c r="BD14" s="24">
        <f>G14/(100-BE14)*100</f>
        <v>0</v>
      </c>
      <c r="BE14" s="24">
        <v>0</v>
      </c>
      <c r="BF14" s="24">
        <f>14</f>
        <v>14</v>
      </c>
      <c r="BH14" s="24">
        <f>F14*AO14</f>
        <v>0</v>
      </c>
      <c r="BI14" s="24">
        <f>F14*AP14</f>
        <v>0</v>
      </c>
      <c r="BJ14" s="24">
        <f>F14*G14</f>
        <v>0</v>
      </c>
      <c r="BK14" s="24"/>
      <c r="BL14" s="24">
        <v>11</v>
      </c>
      <c r="BW14" s="24">
        <v>21</v>
      </c>
      <c r="BX14" s="4" t="s">
        <v>65</v>
      </c>
    </row>
    <row r="15" spans="1:76" x14ac:dyDescent="0.25">
      <c r="A15" s="2" t="s">
        <v>67</v>
      </c>
      <c r="B15" s="3" t="s">
        <v>68</v>
      </c>
      <c r="C15" s="68" t="s">
        <v>69</v>
      </c>
      <c r="D15" s="63"/>
      <c r="E15" s="3" t="s">
        <v>66</v>
      </c>
      <c r="F15" s="24">
        <v>108</v>
      </c>
      <c r="G15" s="24">
        <v>0</v>
      </c>
      <c r="H15" s="24">
        <f>F15*AO15</f>
        <v>0</v>
      </c>
      <c r="I15" s="24">
        <f>F15*AP15</f>
        <v>0</v>
      </c>
      <c r="J15" s="24">
        <f>F15*G15</f>
        <v>0</v>
      </c>
      <c r="K15" s="25" t="s">
        <v>59</v>
      </c>
      <c r="Z15" s="24">
        <f>IF(AQ15="5",BJ15,0)</f>
        <v>0</v>
      </c>
      <c r="AB15" s="24">
        <f>IF(AQ15="1",BH15,0)</f>
        <v>0</v>
      </c>
      <c r="AC15" s="24">
        <f>IF(AQ15="1",BI15,0)</f>
        <v>0</v>
      </c>
      <c r="AD15" s="24">
        <f>IF(AQ15="7",BH15,0)</f>
        <v>0</v>
      </c>
      <c r="AE15" s="24">
        <f>IF(AQ15="7",BI15,0)</f>
        <v>0</v>
      </c>
      <c r="AF15" s="24">
        <f>IF(AQ15="2",BH15,0)</f>
        <v>0</v>
      </c>
      <c r="AG15" s="24">
        <f>IF(AQ15="2",BI15,0)</f>
        <v>0</v>
      </c>
      <c r="AH15" s="24">
        <f>IF(AQ15="0",BJ15,0)</f>
        <v>0</v>
      </c>
      <c r="AI15" s="10" t="s">
        <v>52</v>
      </c>
      <c r="AJ15" s="24">
        <f>IF(AN15=0,J15,0)</f>
        <v>0</v>
      </c>
      <c r="AK15" s="24">
        <f>IF(AN15=12,J15,0)</f>
        <v>0</v>
      </c>
      <c r="AL15" s="24">
        <f>IF(AN15=21,J15,0)</f>
        <v>0</v>
      </c>
      <c r="AN15" s="24">
        <v>21</v>
      </c>
      <c r="AO15" s="24">
        <f>G15*0</f>
        <v>0</v>
      </c>
      <c r="AP15" s="24">
        <f>G15*(1-0)</f>
        <v>0</v>
      </c>
      <c r="AQ15" s="26" t="s">
        <v>55</v>
      </c>
      <c r="AV15" s="24">
        <f>AW15+AX15</f>
        <v>0</v>
      </c>
      <c r="AW15" s="24">
        <f>F15*AO15</f>
        <v>0</v>
      </c>
      <c r="AX15" s="24">
        <f>F15*AP15</f>
        <v>0</v>
      </c>
      <c r="AY15" s="26" t="s">
        <v>60</v>
      </c>
      <c r="AZ15" s="26" t="s">
        <v>61</v>
      </c>
      <c r="BA15" s="10" t="s">
        <v>62</v>
      </c>
      <c r="BC15" s="24">
        <f>AW15+AX15</f>
        <v>0</v>
      </c>
      <c r="BD15" s="24">
        <f>G15/(100-BE15)*100</f>
        <v>0</v>
      </c>
      <c r="BE15" s="24">
        <v>0</v>
      </c>
      <c r="BF15" s="24">
        <f>15</f>
        <v>15</v>
      </c>
      <c r="BH15" s="24">
        <f>F15*AO15</f>
        <v>0</v>
      </c>
      <c r="BI15" s="24">
        <f>F15*AP15</f>
        <v>0</v>
      </c>
      <c r="BJ15" s="24">
        <f>F15*G15</f>
        <v>0</v>
      </c>
      <c r="BK15" s="24"/>
      <c r="BL15" s="24">
        <v>11</v>
      </c>
      <c r="BW15" s="24">
        <v>21</v>
      </c>
      <c r="BX15" s="4" t="s">
        <v>69</v>
      </c>
    </row>
    <row r="16" spans="1:76" x14ac:dyDescent="0.25">
      <c r="A16" s="2" t="s">
        <v>70</v>
      </c>
      <c r="B16" s="3" t="s">
        <v>71</v>
      </c>
      <c r="C16" s="68" t="s">
        <v>72</v>
      </c>
      <c r="D16" s="63"/>
      <c r="E16" s="3" t="s">
        <v>73</v>
      </c>
      <c r="F16" s="24">
        <v>5</v>
      </c>
      <c r="G16" s="24">
        <v>0</v>
      </c>
      <c r="H16" s="24">
        <f>F16*AO16</f>
        <v>0</v>
      </c>
      <c r="I16" s="24">
        <f>F16*AP16</f>
        <v>0</v>
      </c>
      <c r="J16" s="24">
        <f>F16*G16</f>
        <v>0</v>
      </c>
      <c r="K16" s="25" t="s">
        <v>59</v>
      </c>
      <c r="Z16" s="24">
        <f>IF(AQ16="5",BJ16,0)</f>
        <v>0</v>
      </c>
      <c r="AB16" s="24">
        <f>IF(AQ16="1",BH16,0)</f>
        <v>0</v>
      </c>
      <c r="AC16" s="24">
        <f>IF(AQ16="1",BI16,0)</f>
        <v>0</v>
      </c>
      <c r="AD16" s="24">
        <f>IF(AQ16="7",BH16,0)</f>
        <v>0</v>
      </c>
      <c r="AE16" s="24">
        <f>IF(AQ16="7",BI16,0)</f>
        <v>0</v>
      </c>
      <c r="AF16" s="24">
        <f>IF(AQ16="2",BH16,0)</f>
        <v>0</v>
      </c>
      <c r="AG16" s="24">
        <f>IF(AQ16="2",BI16,0)</f>
        <v>0</v>
      </c>
      <c r="AH16" s="24">
        <f>IF(AQ16="0",BJ16,0)</f>
        <v>0</v>
      </c>
      <c r="AI16" s="10" t="s">
        <v>52</v>
      </c>
      <c r="AJ16" s="24">
        <f>IF(AN16=0,J16,0)</f>
        <v>0</v>
      </c>
      <c r="AK16" s="24">
        <f>IF(AN16=12,J16,0)</f>
        <v>0</v>
      </c>
      <c r="AL16" s="24">
        <f>IF(AN16=21,J16,0)</f>
        <v>0</v>
      </c>
      <c r="AN16" s="24">
        <v>21</v>
      </c>
      <c r="AO16" s="24">
        <f>G16*0</f>
        <v>0</v>
      </c>
      <c r="AP16" s="24">
        <f>G16*(1-0)</f>
        <v>0</v>
      </c>
      <c r="AQ16" s="26" t="s">
        <v>55</v>
      </c>
      <c r="AV16" s="24">
        <f>AW16+AX16</f>
        <v>0</v>
      </c>
      <c r="AW16" s="24">
        <f>F16*AO16</f>
        <v>0</v>
      </c>
      <c r="AX16" s="24">
        <f>F16*AP16</f>
        <v>0</v>
      </c>
      <c r="AY16" s="26" t="s">
        <v>60</v>
      </c>
      <c r="AZ16" s="26" t="s">
        <v>61</v>
      </c>
      <c r="BA16" s="10" t="s">
        <v>62</v>
      </c>
      <c r="BC16" s="24">
        <f>AW16+AX16</f>
        <v>0</v>
      </c>
      <c r="BD16" s="24">
        <f>G16/(100-BE16)*100</f>
        <v>0</v>
      </c>
      <c r="BE16" s="24">
        <v>0</v>
      </c>
      <c r="BF16" s="24">
        <f>16</f>
        <v>16</v>
      </c>
      <c r="BH16" s="24">
        <f>F16*AO16</f>
        <v>0</v>
      </c>
      <c r="BI16" s="24">
        <f>F16*AP16</f>
        <v>0</v>
      </c>
      <c r="BJ16" s="24">
        <f>F16*G16</f>
        <v>0</v>
      </c>
      <c r="BK16" s="24"/>
      <c r="BL16" s="24">
        <v>11</v>
      </c>
      <c r="BW16" s="24">
        <v>21</v>
      </c>
      <c r="BX16" s="4" t="s">
        <v>72</v>
      </c>
    </row>
    <row r="17" spans="1:76" x14ac:dyDescent="0.25">
      <c r="A17" s="27" t="s">
        <v>52</v>
      </c>
      <c r="B17" s="28" t="s">
        <v>74</v>
      </c>
      <c r="C17" s="84" t="s">
        <v>75</v>
      </c>
      <c r="D17" s="85"/>
      <c r="E17" s="29" t="s">
        <v>19</v>
      </c>
      <c r="F17" s="29" t="s">
        <v>19</v>
      </c>
      <c r="G17" s="29" t="s">
        <v>19</v>
      </c>
      <c r="H17" s="1">
        <f>SUM(H18:H20)</f>
        <v>0</v>
      </c>
      <c r="I17" s="1">
        <f>SUM(I18:I20)</f>
        <v>0</v>
      </c>
      <c r="J17" s="1">
        <f>SUM(J18:J20)</f>
        <v>0</v>
      </c>
      <c r="K17" s="30" t="s">
        <v>52</v>
      </c>
      <c r="AI17" s="10" t="s">
        <v>52</v>
      </c>
      <c r="AS17" s="1">
        <f>SUM(AJ18:AJ20)</f>
        <v>0</v>
      </c>
      <c r="AT17" s="1">
        <f>SUM(AK18:AK20)</f>
        <v>0</v>
      </c>
      <c r="AU17" s="1">
        <f>SUM(AL18:AL20)</f>
        <v>0</v>
      </c>
    </row>
    <row r="18" spans="1:76" x14ac:dyDescent="0.25">
      <c r="A18" s="2" t="s">
        <v>76</v>
      </c>
      <c r="B18" s="3" t="s">
        <v>77</v>
      </c>
      <c r="C18" s="68" t="s">
        <v>78</v>
      </c>
      <c r="D18" s="63"/>
      <c r="E18" s="3" t="s">
        <v>73</v>
      </c>
      <c r="F18" s="24">
        <v>212</v>
      </c>
      <c r="G18" s="24">
        <v>0</v>
      </c>
      <c r="H18" s="24">
        <f>F18*AO18</f>
        <v>0</v>
      </c>
      <c r="I18" s="24">
        <f>F18*AP18</f>
        <v>0</v>
      </c>
      <c r="J18" s="24">
        <f>F18*G18</f>
        <v>0</v>
      </c>
      <c r="K18" s="25" t="s">
        <v>59</v>
      </c>
      <c r="Z18" s="24">
        <f>IF(AQ18="5",BJ18,0)</f>
        <v>0</v>
      </c>
      <c r="AB18" s="24">
        <f>IF(AQ18="1",BH18,0)</f>
        <v>0</v>
      </c>
      <c r="AC18" s="24">
        <f>IF(AQ18="1",BI18,0)</f>
        <v>0</v>
      </c>
      <c r="AD18" s="24">
        <f>IF(AQ18="7",BH18,0)</f>
        <v>0</v>
      </c>
      <c r="AE18" s="24">
        <f>IF(AQ18="7",BI18,0)</f>
        <v>0</v>
      </c>
      <c r="AF18" s="24">
        <f>IF(AQ18="2",BH18,0)</f>
        <v>0</v>
      </c>
      <c r="AG18" s="24">
        <f>IF(AQ18="2",BI18,0)</f>
        <v>0</v>
      </c>
      <c r="AH18" s="24">
        <f>IF(AQ18="0",BJ18,0)</f>
        <v>0</v>
      </c>
      <c r="AI18" s="10" t="s">
        <v>52</v>
      </c>
      <c r="AJ18" s="24">
        <f>IF(AN18=0,J18,0)</f>
        <v>0</v>
      </c>
      <c r="AK18" s="24">
        <f>IF(AN18=12,J18,0)</f>
        <v>0</v>
      </c>
      <c r="AL18" s="24">
        <f>IF(AN18=21,J18,0)</f>
        <v>0</v>
      </c>
      <c r="AN18" s="24">
        <v>21</v>
      </c>
      <c r="AO18" s="24">
        <f>G18*0</f>
        <v>0</v>
      </c>
      <c r="AP18" s="24">
        <f>G18*(1-0)</f>
        <v>0</v>
      </c>
      <c r="AQ18" s="26" t="s">
        <v>55</v>
      </c>
      <c r="AV18" s="24">
        <f>AW18+AX18</f>
        <v>0</v>
      </c>
      <c r="AW18" s="24">
        <f>F18*AO18</f>
        <v>0</v>
      </c>
      <c r="AX18" s="24">
        <f>F18*AP18</f>
        <v>0</v>
      </c>
      <c r="AY18" s="26" t="s">
        <v>79</v>
      </c>
      <c r="AZ18" s="26" t="s">
        <v>61</v>
      </c>
      <c r="BA18" s="10" t="s">
        <v>62</v>
      </c>
      <c r="BC18" s="24">
        <f>AW18+AX18</f>
        <v>0</v>
      </c>
      <c r="BD18" s="24">
        <f>G18/(100-BE18)*100</f>
        <v>0</v>
      </c>
      <c r="BE18" s="24">
        <v>0</v>
      </c>
      <c r="BF18" s="24">
        <f>18</f>
        <v>18</v>
      </c>
      <c r="BH18" s="24">
        <f>F18*AO18</f>
        <v>0</v>
      </c>
      <c r="BI18" s="24">
        <f>F18*AP18</f>
        <v>0</v>
      </c>
      <c r="BJ18" s="24">
        <f>F18*G18</f>
        <v>0</v>
      </c>
      <c r="BK18" s="24"/>
      <c r="BL18" s="24">
        <v>12</v>
      </c>
      <c r="BW18" s="24">
        <v>21</v>
      </c>
      <c r="BX18" s="4" t="s">
        <v>78</v>
      </c>
    </row>
    <row r="19" spans="1:76" x14ac:dyDescent="0.25">
      <c r="A19" s="2" t="s">
        <v>80</v>
      </c>
      <c r="B19" s="3" t="s">
        <v>81</v>
      </c>
      <c r="C19" s="68" t="s">
        <v>82</v>
      </c>
      <c r="D19" s="63"/>
      <c r="E19" s="3" t="s">
        <v>73</v>
      </c>
      <c r="F19" s="24">
        <v>37</v>
      </c>
      <c r="G19" s="24">
        <v>0</v>
      </c>
      <c r="H19" s="24">
        <f>F19*AO19</f>
        <v>0</v>
      </c>
      <c r="I19" s="24">
        <f>F19*AP19</f>
        <v>0</v>
      </c>
      <c r="J19" s="24">
        <f>F19*G19</f>
        <v>0</v>
      </c>
      <c r="K19" s="25" t="s">
        <v>59</v>
      </c>
      <c r="Z19" s="24">
        <f>IF(AQ19="5",BJ19,0)</f>
        <v>0</v>
      </c>
      <c r="AB19" s="24">
        <f>IF(AQ19="1",BH19,0)</f>
        <v>0</v>
      </c>
      <c r="AC19" s="24">
        <f>IF(AQ19="1",BI19,0)</f>
        <v>0</v>
      </c>
      <c r="AD19" s="24">
        <f>IF(AQ19="7",BH19,0)</f>
        <v>0</v>
      </c>
      <c r="AE19" s="24">
        <f>IF(AQ19="7",BI19,0)</f>
        <v>0</v>
      </c>
      <c r="AF19" s="24">
        <f>IF(AQ19="2",BH19,0)</f>
        <v>0</v>
      </c>
      <c r="AG19" s="24">
        <f>IF(AQ19="2",BI19,0)</f>
        <v>0</v>
      </c>
      <c r="AH19" s="24">
        <f>IF(AQ19="0",BJ19,0)</f>
        <v>0</v>
      </c>
      <c r="AI19" s="10" t="s">
        <v>52</v>
      </c>
      <c r="AJ19" s="24">
        <f>IF(AN19=0,J19,0)</f>
        <v>0</v>
      </c>
      <c r="AK19" s="24">
        <f>IF(AN19=12,J19,0)</f>
        <v>0</v>
      </c>
      <c r="AL19" s="24">
        <f>IF(AN19=21,J19,0)</f>
        <v>0</v>
      </c>
      <c r="AN19" s="24">
        <v>21</v>
      </c>
      <c r="AO19" s="24">
        <f>G19*0</f>
        <v>0</v>
      </c>
      <c r="AP19" s="24">
        <f>G19*(1-0)</f>
        <v>0</v>
      </c>
      <c r="AQ19" s="26" t="s">
        <v>55</v>
      </c>
      <c r="AV19" s="24">
        <f>AW19+AX19</f>
        <v>0</v>
      </c>
      <c r="AW19" s="24">
        <f>F19*AO19</f>
        <v>0</v>
      </c>
      <c r="AX19" s="24">
        <f>F19*AP19</f>
        <v>0</v>
      </c>
      <c r="AY19" s="26" t="s">
        <v>79</v>
      </c>
      <c r="AZ19" s="26" t="s">
        <v>61</v>
      </c>
      <c r="BA19" s="10" t="s">
        <v>62</v>
      </c>
      <c r="BC19" s="24">
        <f>AW19+AX19</f>
        <v>0</v>
      </c>
      <c r="BD19" s="24">
        <f>G19/(100-BE19)*100</f>
        <v>0</v>
      </c>
      <c r="BE19" s="24">
        <v>0</v>
      </c>
      <c r="BF19" s="24">
        <f>19</f>
        <v>19</v>
      </c>
      <c r="BH19" s="24">
        <f>F19*AO19</f>
        <v>0</v>
      </c>
      <c r="BI19" s="24">
        <f>F19*AP19</f>
        <v>0</v>
      </c>
      <c r="BJ19" s="24">
        <f>F19*G19</f>
        <v>0</v>
      </c>
      <c r="BK19" s="24"/>
      <c r="BL19" s="24">
        <v>12</v>
      </c>
      <c r="BW19" s="24">
        <v>21</v>
      </c>
      <c r="BX19" s="4" t="s">
        <v>82</v>
      </c>
    </row>
    <row r="20" spans="1:76" x14ac:dyDescent="0.25">
      <c r="A20" s="2" t="s">
        <v>83</v>
      </c>
      <c r="B20" s="3" t="s">
        <v>81</v>
      </c>
      <c r="C20" s="68" t="s">
        <v>82</v>
      </c>
      <c r="D20" s="63"/>
      <c r="E20" s="3" t="s">
        <v>73</v>
      </c>
      <c r="F20" s="24">
        <v>65</v>
      </c>
      <c r="G20" s="24">
        <v>0</v>
      </c>
      <c r="H20" s="24">
        <f>F20*AO20</f>
        <v>0</v>
      </c>
      <c r="I20" s="24">
        <f>F20*AP20</f>
        <v>0</v>
      </c>
      <c r="J20" s="24">
        <f>F20*G20</f>
        <v>0</v>
      </c>
      <c r="K20" s="25" t="s">
        <v>59</v>
      </c>
      <c r="Z20" s="24">
        <f>IF(AQ20="5",BJ20,0)</f>
        <v>0</v>
      </c>
      <c r="AB20" s="24">
        <f>IF(AQ20="1",BH20,0)</f>
        <v>0</v>
      </c>
      <c r="AC20" s="24">
        <f>IF(AQ20="1",BI20,0)</f>
        <v>0</v>
      </c>
      <c r="AD20" s="24">
        <f>IF(AQ20="7",BH20,0)</f>
        <v>0</v>
      </c>
      <c r="AE20" s="24">
        <f>IF(AQ20="7",BI20,0)</f>
        <v>0</v>
      </c>
      <c r="AF20" s="24">
        <f>IF(AQ20="2",BH20,0)</f>
        <v>0</v>
      </c>
      <c r="AG20" s="24">
        <f>IF(AQ20="2",BI20,0)</f>
        <v>0</v>
      </c>
      <c r="AH20" s="24">
        <f>IF(AQ20="0",BJ20,0)</f>
        <v>0</v>
      </c>
      <c r="AI20" s="10" t="s">
        <v>52</v>
      </c>
      <c r="AJ20" s="24">
        <f>IF(AN20=0,J20,0)</f>
        <v>0</v>
      </c>
      <c r="AK20" s="24">
        <f>IF(AN20=12,J20,0)</f>
        <v>0</v>
      </c>
      <c r="AL20" s="24">
        <f>IF(AN20=21,J20,0)</f>
        <v>0</v>
      </c>
      <c r="AN20" s="24">
        <v>21</v>
      </c>
      <c r="AO20" s="24">
        <f>G20*0</f>
        <v>0</v>
      </c>
      <c r="AP20" s="24">
        <f>G20*(1-0)</f>
        <v>0</v>
      </c>
      <c r="AQ20" s="26" t="s">
        <v>55</v>
      </c>
      <c r="AV20" s="24">
        <f>AW20+AX20</f>
        <v>0</v>
      </c>
      <c r="AW20" s="24">
        <f>F20*AO20</f>
        <v>0</v>
      </c>
      <c r="AX20" s="24">
        <f>F20*AP20</f>
        <v>0</v>
      </c>
      <c r="AY20" s="26" t="s">
        <v>79</v>
      </c>
      <c r="AZ20" s="26" t="s">
        <v>61</v>
      </c>
      <c r="BA20" s="10" t="s">
        <v>62</v>
      </c>
      <c r="BC20" s="24">
        <f>AW20+AX20</f>
        <v>0</v>
      </c>
      <c r="BD20" s="24">
        <f>G20/(100-BE20)*100</f>
        <v>0</v>
      </c>
      <c r="BE20" s="24">
        <v>0</v>
      </c>
      <c r="BF20" s="24">
        <f>20</f>
        <v>20</v>
      </c>
      <c r="BH20" s="24">
        <f>F20*AO20</f>
        <v>0</v>
      </c>
      <c r="BI20" s="24">
        <f>F20*AP20</f>
        <v>0</v>
      </c>
      <c r="BJ20" s="24">
        <f>F20*G20</f>
        <v>0</v>
      </c>
      <c r="BK20" s="24"/>
      <c r="BL20" s="24">
        <v>12</v>
      </c>
      <c r="BW20" s="24">
        <v>21</v>
      </c>
      <c r="BX20" s="4" t="s">
        <v>82</v>
      </c>
    </row>
    <row r="21" spans="1:76" x14ac:dyDescent="0.25">
      <c r="A21" s="27" t="s">
        <v>52</v>
      </c>
      <c r="B21" s="28" t="s">
        <v>84</v>
      </c>
      <c r="C21" s="84" t="s">
        <v>85</v>
      </c>
      <c r="D21" s="85"/>
      <c r="E21" s="29" t="s">
        <v>19</v>
      </c>
      <c r="F21" s="29" t="s">
        <v>19</v>
      </c>
      <c r="G21" s="29" t="s">
        <v>19</v>
      </c>
      <c r="H21" s="1">
        <f>SUM(H22:H22)</f>
        <v>0</v>
      </c>
      <c r="I21" s="1">
        <f>SUM(I22:I22)</f>
        <v>0</v>
      </c>
      <c r="J21" s="1">
        <f>SUM(J22:J22)</f>
        <v>0</v>
      </c>
      <c r="K21" s="30" t="s">
        <v>52</v>
      </c>
      <c r="AI21" s="10" t="s">
        <v>52</v>
      </c>
      <c r="AS21" s="1">
        <f>SUM(AJ22:AJ22)</f>
        <v>0</v>
      </c>
      <c r="AT21" s="1">
        <f>SUM(AK22:AK22)</f>
        <v>0</v>
      </c>
      <c r="AU21" s="1">
        <f>SUM(AL22:AL22)</f>
        <v>0</v>
      </c>
    </row>
    <row r="22" spans="1:76" x14ac:dyDescent="0.25">
      <c r="A22" s="2" t="s">
        <v>86</v>
      </c>
      <c r="B22" s="3" t="s">
        <v>87</v>
      </c>
      <c r="C22" s="68" t="s">
        <v>88</v>
      </c>
      <c r="D22" s="63"/>
      <c r="E22" s="3" t="s">
        <v>66</v>
      </c>
      <c r="F22" s="24">
        <v>85</v>
      </c>
      <c r="G22" s="24">
        <v>0</v>
      </c>
      <c r="H22" s="24">
        <f>F22*AO22</f>
        <v>0</v>
      </c>
      <c r="I22" s="24">
        <f>F22*AP22</f>
        <v>0</v>
      </c>
      <c r="J22" s="24">
        <f>F22*G22</f>
        <v>0</v>
      </c>
      <c r="K22" s="25" t="s">
        <v>59</v>
      </c>
      <c r="Z22" s="24">
        <f>IF(AQ22="5",BJ22,0)</f>
        <v>0</v>
      </c>
      <c r="AB22" s="24">
        <f>IF(AQ22="1",BH22,0)</f>
        <v>0</v>
      </c>
      <c r="AC22" s="24">
        <f>IF(AQ22="1",BI22,0)</f>
        <v>0</v>
      </c>
      <c r="AD22" s="24">
        <f>IF(AQ22="7",BH22,0)</f>
        <v>0</v>
      </c>
      <c r="AE22" s="24">
        <f>IF(AQ22="7",BI22,0)</f>
        <v>0</v>
      </c>
      <c r="AF22" s="24">
        <f>IF(AQ22="2",BH22,0)</f>
        <v>0</v>
      </c>
      <c r="AG22" s="24">
        <f>IF(AQ22="2",BI22,0)</f>
        <v>0</v>
      </c>
      <c r="AH22" s="24">
        <f>IF(AQ22="0",BJ22,0)</f>
        <v>0</v>
      </c>
      <c r="AI22" s="10" t="s">
        <v>52</v>
      </c>
      <c r="AJ22" s="24">
        <f>IF(AN22=0,J22,0)</f>
        <v>0</v>
      </c>
      <c r="AK22" s="24">
        <f>IF(AN22=12,J22,0)</f>
        <v>0</v>
      </c>
      <c r="AL22" s="24">
        <f>IF(AN22=21,J22,0)</f>
        <v>0</v>
      </c>
      <c r="AN22" s="24">
        <v>21</v>
      </c>
      <c r="AO22" s="24">
        <f>G22*0</f>
        <v>0</v>
      </c>
      <c r="AP22" s="24">
        <f>G22*(1-0)</f>
        <v>0</v>
      </c>
      <c r="AQ22" s="26" t="s">
        <v>55</v>
      </c>
      <c r="AV22" s="24">
        <f>AW22+AX22</f>
        <v>0</v>
      </c>
      <c r="AW22" s="24">
        <f>F22*AO22</f>
        <v>0</v>
      </c>
      <c r="AX22" s="24">
        <f>F22*AP22</f>
        <v>0</v>
      </c>
      <c r="AY22" s="26" t="s">
        <v>89</v>
      </c>
      <c r="AZ22" s="26" t="s">
        <v>61</v>
      </c>
      <c r="BA22" s="10" t="s">
        <v>62</v>
      </c>
      <c r="BC22" s="24">
        <f>AW22+AX22</f>
        <v>0</v>
      </c>
      <c r="BD22" s="24">
        <f>G22/(100-BE22)*100</f>
        <v>0</v>
      </c>
      <c r="BE22" s="24">
        <v>0</v>
      </c>
      <c r="BF22" s="24">
        <f>22</f>
        <v>22</v>
      </c>
      <c r="BH22" s="24">
        <f>F22*AO22</f>
        <v>0</v>
      </c>
      <c r="BI22" s="24">
        <f>F22*AP22</f>
        <v>0</v>
      </c>
      <c r="BJ22" s="24">
        <f>F22*G22</f>
        <v>0</v>
      </c>
      <c r="BK22" s="24"/>
      <c r="BL22" s="24">
        <v>13</v>
      </c>
      <c r="BW22" s="24">
        <v>21</v>
      </c>
      <c r="BX22" s="4" t="s">
        <v>88</v>
      </c>
    </row>
    <row r="23" spans="1:76" x14ac:dyDescent="0.25">
      <c r="A23" s="27" t="s">
        <v>52</v>
      </c>
      <c r="B23" s="28" t="s">
        <v>90</v>
      </c>
      <c r="C23" s="84" t="s">
        <v>91</v>
      </c>
      <c r="D23" s="85"/>
      <c r="E23" s="29" t="s">
        <v>19</v>
      </c>
      <c r="F23" s="29" t="s">
        <v>19</v>
      </c>
      <c r="G23" s="29" t="s">
        <v>19</v>
      </c>
      <c r="H23" s="1">
        <f>SUM(H24:H27)</f>
        <v>0</v>
      </c>
      <c r="I23" s="1">
        <f>SUM(I24:I27)</f>
        <v>0</v>
      </c>
      <c r="J23" s="1">
        <f>SUM(J24:J27)</f>
        <v>0</v>
      </c>
      <c r="K23" s="30" t="s">
        <v>52</v>
      </c>
      <c r="AI23" s="10" t="s">
        <v>52</v>
      </c>
      <c r="AS23" s="1">
        <f>SUM(AJ24:AJ27)</f>
        <v>0</v>
      </c>
      <c r="AT23" s="1">
        <f>SUM(AK24:AK27)</f>
        <v>0</v>
      </c>
      <c r="AU23" s="1">
        <f>SUM(AL24:AL27)</f>
        <v>0</v>
      </c>
    </row>
    <row r="24" spans="1:76" x14ac:dyDescent="0.25">
      <c r="A24" s="2" t="s">
        <v>92</v>
      </c>
      <c r="B24" s="3" t="s">
        <v>93</v>
      </c>
      <c r="C24" s="68" t="s">
        <v>94</v>
      </c>
      <c r="D24" s="63"/>
      <c r="E24" s="3" t="s">
        <v>58</v>
      </c>
      <c r="F24" s="24">
        <v>380</v>
      </c>
      <c r="G24" s="24">
        <v>0</v>
      </c>
      <c r="H24" s="24">
        <f>F24*AO24</f>
        <v>0</v>
      </c>
      <c r="I24" s="24">
        <f>F24*AP24</f>
        <v>0</v>
      </c>
      <c r="J24" s="24">
        <f>F24*G24</f>
        <v>0</v>
      </c>
      <c r="K24" s="25" t="s">
        <v>59</v>
      </c>
      <c r="Z24" s="24">
        <f>IF(AQ24="5",BJ24,0)</f>
        <v>0</v>
      </c>
      <c r="AB24" s="24">
        <f>IF(AQ24="1",BH24,0)</f>
        <v>0</v>
      </c>
      <c r="AC24" s="24">
        <f>IF(AQ24="1",BI24,0)</f>
        <v>0</v>
      </c>
      <c r="AD24" s="24">
        <f>IF(AQ24="7",BH24,0)</f>
        <v>0</v>
      </c>
      <c r="AE24" s="24">
        <f>IF(AQ24="7",BI24,0)</f>
        <v>0</v>
      </c>
      <c r="AF24" s="24">
        <f>IF(AQ24="2",BH24,0)</f>
        <v>0</v>
      </c>
      <c r="AG24" s="24">
        <f>IF(AQ24="2",BI24,0)</f>
        <v>0</v>
      </c>
      <c r="AH24" s="24">
        <f>IF(AQ24="0",BJ24,0)</f>
        <v>0</v>
      </c>
      <c r="AI24" s="10" t="s">
        <v>52</v>
      </c>
      <c r="AJ24" s="24">
        <f>IF(AN24=0,J24,0)</f>
        <v>0</v>
      </c>
      <c r="AK24" s="24">
        <f>IF(AN24=12,J24,0)</f>
        <v>0</v>
      </c>
      <c r="AL24" s="24">
        <f>IF(AN24=21,J24,0)</f>
        <v>0</v>
      </c>
      <c r="AN24" s="24">
        <v>21</v>
      </c>
      <c r="AO24" s="24">
        <f>G24*0</f>
        <v>0</v>
      </c>
      <c r="AP24" s="24">
        <f>G24*(1-0)</f>
        <v>0</v>
      </c>
      <c r="AQ24" s="26" t="s">
        <v>55</v>
      </c>
      <c r="AV24" s="24">
        <f>AW24+AX24</f>
        <v>0</v>
      </c>
      <c r="AW24" s="24">
        <f>F24*AO24</f>
        <v>0</v>
      </c>
      <c r="AX24" s="24">
        <f>F24*AP24</f>
        <v>0</v>
      </c>
      <c r="AY24" s="26" t="s">
        <v>95</v>
      </c>
      <c r="AZ24" s="26" t="s">
        <v>61</v>
      </c>
      <c r="BA24" s="10" t="s">
        <v>62</v>
      </c>
      <c r="BC24" s="24">
        <f>AW24+AX24</f>
        <v>0</v>
      </c>
      <c r="BD24" s="24">
        <f>G24/(100-BE24)*100</f>
        <v>0</v>
      </c>
      <c r="BE24" s="24">
        <v>0</v>
      </c>
      <c r="BF24" s="24">
        <f>24</f>
        <v>24</v>
      </c>
      <c r="BH24" s="24">
        <f>F24*AO24</f>
        <v>0</v>
      </c>
      <c r="BI24" s="24">
        <f>F24*AP24</f>
        <v>0</v>
      </c>
      <c r="BJ24" s="24">
        <f>F24*G24</f>
        <v>0</v>
      </c>
      <c r="BK24" s="24"/>
      <c r="BL24" s="24">
        <v>18</v>
      </c>
      <c r="BW24" s="24">
        <v>21</v>
      </c>
      <c r="BX24" s="4" t="s">
        <v>94</v>
      </c>
    </row>
    <row r="25" spans="1:76" x14ac:dyDescent="0.25">
      <c r="A25" s="2" t="s">
        <v>96</v>
      </c>
      <c r="B25" s="3" t="s">
        <v>97</v>
      </c>
      <c r="C25" s="68" t="s">
        <v>98</v>
      </c>
      <c r="D25" s="63"/>
      <c r="E25" s="3" t="s">
        <v>58</v>
      </c>
      <c r="F25" s="24">
        <v>212</v>
      </c>
      <c r="G25" s="24">
        <v>0</v>
      </c>
      <c r="H25" s="24">
        <f>F25*AO25</f>
        <v>0</v>
      </c>
      <c r="I25" s="24">
        <f>F25*AP25</f>
        <v>0</v>
      </c>
      <c r="J25" s="24">
        <f>F25*G25</f>
        <v>0</v>
      </c>
      <c r="K25" s="25" t="s">
        <v>59</v>
      </c>
      <c r="Z25" s="24">
        <f>IF(AQ25="5",BJ25,0)</f>
        <v>0</v>
      </c>
      <c r="AB25" s="24">
        <f>IF(AQ25="1",BH25,0)</f>
        <v>0</v>
      </c>
      <c r="AC25" s="24">
        <f>IF(AQ25="1",BI25,0)</f>
        <v>0</v>
      </c>
      <c r="AD25" s="24">
        <f>IF(AQ25="7",BH25,0)</f>
        <v>0</v>
      </c>
      <c r="AE25" s="24">
        <f>IF(AQ25="7",BI25,0)</f>
        <v>0</v>
      </c>
      <c r="AF25" s="24">
        <f>IF(AQ25="2",BH25,0)</f>
        <v>0</v>
      </c>
      <c r="AG25" s="24">
        <f>IF(AQ25="2",BI25,0)</f>
        <v>0</v>
      </c>
      <c r="AH25" s="24">
        <f>IF(AQ25="0",BJ25,0)</f>
        <v>0</v>
      </c>
      <c r="AI25" s="10" t="s">
        <v>52</v>
      </c>
      <c r="AJ25" s="24">
        <f>IF(AN25=0,J25,0)</f>
        <v>0</v>
      </c>
      <c r="AK25" s="24">
        <f>IF(AN25=12,J25,0)</f>
        <v>0</v>
      </c>
      <c r="AL25" s="24">
        <f>IF(AN25=21,J25,0)</f>
        <v>0</v>
      </c>
      <c r="AN25" s="24">
        <v>21</v>
      </c>
      <c r="AO25" s="24">
        <f>G25*0</f>
        <v>0</v>
      </c>
      <c r="AP25" s="24">
        <f>G25*(1-0)</f>
        <v>0</v>
      </c>
      <c r="AQ25" s="26" t="s">
        <v>55</v>
      </c>
      <c r="AV25" s="24">
        <f>AW25+AX25</f>
        <v>0</v>
      </c>
      <c r="AW25" s="24">
        <f>F25*AO25</f>
        <v>0</v>
      </c>
      <c r="AX25" s="24">
        <f>F25*AP25</f>
        <v>0</v>
      </c>
      <c r="AY25" s="26" t="s">
        <v>95</v>
      </c>
      <c r="AZ25" s="26" t="s">
        <v>61</v>
      </c>
      <c r="BA25" s="10" t="s">
        <v>62</v>
      </c>
      <c r="BC25" s="24">
        <f>AW25+AX25</f>
        <v>0</v>
      </c>
      <c r="BD25" s="24">
        <f>G25/(100-BE25)*100</f>
        <v>0</v>
      </c>
      <c r="BE25" s="24">
        <v>0</v>
      </c>
      <c r="BF25" s="24">
        <f>25</f>
        <v>25</v>
      </c>
      <c r="BH25" s="24">
        <f>F25*AO25</f>
        <v>0</v>
      </c>
      <c r="BI25" s="24">
        <f>F25*AP25</f>
        <v>0</v>
      </c>
      <c r="BJ25" s="24">
        <f>F25*G25</f>
        <v>0</v>
      </c>
      <c r="BK25" s="24"/>
      <c r="BL25" s="24">
        <v>18</v>
      </c>
      <c r="BW25" s="24">
        <v>21</v>
      </c>
      <c r="BX25" s="4" t="s">
        <v>98</v>
      </c>
    </row>
    <row r="26" spans="1:76" x14ac:dyDescent="0.25">
      <c r="A26" s="2" t="s">
        <v>53</v>
      </c>
      <c r="B26" s="3" t="s">
        <v>99</v>
      </c>
      <c r="C26" s="68" t="s">
        <v>100</v>
      </c>
      <c r="D26" s="63"/>
      <c r="E26" s="3" t="s">
        <v>73</v>
      </c>
      <c r="F26" s="24">
        <v>20</v>
      </c>
      <c r="G26" s="24">
        <v>0</v>
      </c>
      <c r="H26" s="24">
        <f>F26*AO26</f>
        <v>0</v>
      </c>
      <c r="I26" s="24">
        <f>F26*AP26</f>
        <v>0</v>
      </c>
      <c r="J26" s="24">
        <f>F26*G26</f>
        <v>0</v>
      </c>
      <c r="K26" s="25" t="s">
        <v>59</v>
      </c>
      <c r="Z26" s="24">
        <f>IF(AQ26="5",BJ26,0)</f>
        <v>0</v>
      </c>
      <c r="AB26" s="24">
        <f>IF(AQ26="1",BH26,0)</f>
        <v>0</v>
      </c>
      <c r="AC26" s="24">
        <f>IF(AQ26="1",BI26,0)</f>
        <v>0</v>
      </c>
      <c r="AD26" s="24">
        <f>IF(AQ26="7",BH26,0)</f>
        <v>0</v>
      </c>
      <c r="AE26" s="24">
        <f>IF(AQ26="7",BI26,0)</f>
        <v>0</v>
      </c>
      <c r="AF26" s="24">
        <f>IF(AQ26="2",BH26,0)</f>
        <v>0</v>
      </c>
      <c r="AG26" s="24">
        <f>IF(AQ26="2",BI26,0)</f>
        <v>0</v>
      </c>
      <c r="AH26" s="24">
        <f>IF(AQ26="0",BJ26,0)</f>
        <v>0</v>
      </c>
      <c r="AI26" s="10" t="s">
        <v>52</v>
      </c>
      <c r="AJ26" s="24">
        <f>IF(AN26=0,J26,0)</f>
        <v>0</v>
      </c>
      <c r="AK26" s="24">
        <f>IF(AN26=12,J26,0)</f>
        <v>0</v>
      </c>
      <c r="AL26" s="24">
        <f>IF(AN26=21,J26,0)</f>
        <v>0</v>
      </c>
      <c r="AN26" s="24">
        <v>21</v>
      </c>
      <c r="AO26" s="24">
        <f>G26*0.304574468</f>
        <v>0</v>
      </c>
      <c r="AP26" s="24">
        <f>G26*(1-0.304574468)</f>
        <v>0</v>
      </c>
      <c r="AQ26" s="26" t="s">
        <v>55</v>
      </c>
      <c r="AV26" s="24">
        <f>AW26+AX26</f>
        <v>0</v>
      </c>
      <c r="AW26" s="24">
        <f>F26*AO26</f>
        <v>0</v>
      </c>
      <c r="AX26" s="24">
        <f>F26*AP26</f>
        <v>0</v>
      </c>
      <c r="AY26" s="26" t="s">
        <v>95</v>
      </c>
      <c r="AZ26" s="26" t="s">
        <v>61</v>
      </c>
      <c r="BA26" s="10" t="s">
        <v>62</v>
      </c>
      <c r="BC26" s="24">
        <f>AW26+AX26</f>
        <v>0</v>
      </c>
      <c r="BD26" s="24">
        <f>G26/(100-BE26)*100</f>
        <v>0</v>
      </c>
      <c r="BE26" s="24">
        <v>0</v>
      </c>
      <c r="BF26" s="24">
        <f>26</f>
        <v>26</v>
      </c>
      <c r="BH26" s="24">
        <f>F26*AO26</f>
        <v>0</v>
      </c>
      <c r="BI26" s="24">
        <f>F26*AP26</f>
        <v>0</v>
      </c>
      <c r="BJ26" s="24">
        <f>F26*G26</f>
        <v>0</v>
      </c>
      <c r="BK26" s="24"/>
      <c r="BL26" s="24">
        <v>18</v>
      </c>
      <c r="BW26" s="24">
        <v>21</v>
      </c>
      <c r="BX26" s="4" t="s">
        <v>100</v>
      </c>
    </row>
    <row r="27" spans="1:76" x14ac:dyDescent="0.25">
      <c r="A27" s="2" t="s">
        <v>74</v>
      </c>
      <c r="B27" s="3" t="s">
        <v>101</v>
      </c>
      <c r="C27" s="68" t="s">
        <v>102</v>
      </c>
      <c r="D27" s="63"/>
      <c r="E27" s="3" t="s">
        <v>103</v>
      </c>
      <c r="F27" s="24">
        <v>5</v>
      </c>
      <c r="G27" s="24">
        <v>0</v>
      </c>
      <c r="H27" s="24">
        <f>F27*AO27</f>
        <v>0</v>
      </c>
      <c r="I27" s="24">
        <f>F27*AP27</f>
        <v>0</v>
      </c>
      <c r="J27" s="24">
        <f>F27*G27</f>
        <v>0</v>
      </c>
      <c r="K27" s="25" t="s">
        <v>59</v>
      </c>
      <c r="Z27" s="24">
        <f>IF(AQ27="5",BJ27,0)</f>
        <v>0</v>
      </c>
      <c r="AB27" s="24">
        <f>IF(AQ27="1",BH27,0)</f>
        <v>0</v>
      </c>
      <c r="AC27" s="24">
        <f>IF(AQ27="1",BI27,0)</f>
        <v>0</v>
      </c>
      <c r="AD27" s="24">
        <f>IF(AQ27="7",BH27,0)</f>
        <v>0</v>
      </c>
      <c r="AE27" s="24">
        <f>IF(AQ27="7",BI27,0)</f>
        <v>0</v>
      </c>
      <c r="AF27" s="24">
        <f>IF(AQ27="2",BH27,0)</f>
        <v>0</v>
      </c>
      <c r="AG27" s="24">
        <f>IF(AQ27="2",BI27,0)</f>
        <v>0</v>
      </c>
      <c r="AH27" s="24">
        <f>IF(AQ27="0",BJ27,0)</f>
        <v>0</v>
      </c>
      <c r="AI27" s="10" t="s">
        <v>52</v>
      </c>
      <c r="AJ27" s="24">
        <f>IF(AN27=0,J27,0)</f>
        <v>0</v>
      </c>
      <c r="AK27" s="24">
        <f>IF(AN27=12,J27,0)</f>
        <v>0</v>
      </c>
      <c r="AL27" s="24">
        <f>IF(AN27=21,J27,0)</f>
        <v>0</v>
      </c>
      <c r="AN27" s="24">
        <v>21</v>
      </c>
      <c r="AO27" s="24">
        <f>G27*0.169395669</f>
        <v>0</v>
      </c>
      <c r="AP27" s="24">
        <f>G27*(1-0.169395669)</f>
        <v>0</v>
      </c>
      <c r="AQ27" s="26" t="s">
        <v>55</v>
      </c>
      <c r="AV27" s="24">
        <f>AW27+AX27</f>
        <v>0</v>
      </c>
      <c r="AW27" s="24">
        <f>F27*AO27</f>
        <v>0</v>
      </c>
      <c r="AX27" s="24">
        <f>F27*AP27</f>
        <v>0</v>
      </c>
      <c r="AY27" s="26" t="s">
        <v>95</v>
      </c>
      <c r="AZ27" s="26" t="s">
        <v>61</v>
      </c>
      <c r="BA27" s="10" t="s">
        <v>62</v>
      </c>
      <c r="BC27" s="24">
        <f>AW27+AX27</f>
        <v>0</v>
      </c>
      <c r="BD27" s="24">
        <f>G27/(100-BE27)*100</f>
        <v>0</v>
      </c>
      <c r="BE27" s="24">
        <v>0</v>
      </c>
      <c r="BF27" s="24">
        <f>27</f>
        <v>27</v>
      </c>
      <c r="BH27" s="24">
        <f>F27*AO27</f>
        <v>0</v>
      </c>
      <c r="BI27" s="24">
        <f>F27*AP27</f>
        <v>0</v>
      </c>
      <c r="BJ27" s="24">
        <f>F27*G27</f>
        <v>0</v>
      </c>
      <c r="BK27" s="24"/>
      <c r="BL27" s="24">
        <v>18</v>
      </c>
      <c r="BW27" s="24">
        <v>21</v>
      </c>
      <c r="BX27" s="4" t="s">
        <v>102</v>
      </c>
    </row>
    <row r="28" spans="1:76" x14ac:dyDescent="0.25">
      <c r="A28" s="27" t="s">
        <v>52</v>
      </c>
      <c r="B28" s="28" t="s">
        <v>104</v>
      </c>
      <c r="C28" s="84" t="s">
        <v>105</v>
      </c>
      <c r="D28" s="85"/>
      <c r="E28" s="29" t="s">
        <v>19</v>
      </c>
      <c r="F28" s="29" t="s">
        <v>19</v>
      </c>
      <c r="G28" s="29" t="s">
        <v>19</v>
      </c>
      <c r="H28" s="1">
        <f>SUM(H29:H32)</f>
        <v>0</v>
      </c>
      <c r="I28" s="1">
        <f>SUM(I29:I32)</f>
        <v>0</v>
      </c>
      <c r="J28" s="1">
        <f>SUM(J29:J32)</f>
        <v>0</v>
      </c>
      <c r="K28" s="30" t="s">
        <v>52</v>
      </c>
      <c r="AI28" s="10" t="s">
        <v>52</v>
      </c>
      <c r="AS28" s="1">
        <f>SUM(AJ29:AJ32)</f>
        <v>0</v>
      </c>
      <c r="AT28" s="1">
        <f>SUM(AK29:AK32)</f>
        <v>0</v>
      </c>
      <c r="AU28" s="1">
        <f>SUM(AL29:AL32)</f>
        <v>0</v>
      </c>
    </row>
    <row r="29" spans="1:76" x14ac:dyDescent="0.25">
      <c r="A29" s="2" t="s">
        <v>84</v>
      </c>
      <c r="B29" s="3" t="s">
        <v>106</v>
      </c>
      <c r="C29" s="68" t="s">
        <v>107</v>
      </c>
      <c r="D29" s="63"/>
      <c r="E29" s="3" t="s">
        <v>58</v>
      </c>
      <c r="F29" s="24">
        <v>75</v>
      </c>
      <c r="G29" s="24">
        <v>0</v>
      </c>
      <c r="H29" s="24">
        <f>F29*AO29</f>
        <v>0</v>
      </c>
      <c r="I29" s="24">
        <f>F29*AP29</f>
        <v>0</v>
      </c>
      <c r="J29" s="24">
        <f>F29*G29</f>
        <v>0</v>
      </c>
      <c r="K29" s="25" t="s">
        <v>59</v>
      </c>
      <c r="Z29" s="24">
        <f>IF(AQ29="5",BJ29,0)</f>
        <v>0</v>
      </c>
      <c r="AB29" s="24">
        <f>IF(AQ29="1",BH29,0)</f>
        <v>0</v>
      </c>
      <c r="AC29" s="24">
        <f>IF(AQ29="1",BI29,0)</f>
        <v>0</v>
      </c>
      <c r="AD29" s="24">
        <f>IF(AQ29="7",BH29,0)</f>
        <v>0</v>
      </c>
      <c r="AE29" s="24">
        <f>IF(AQ29="7",BI29,0)</f>
        <v>0</v>
      </c>
      <c r="AF29" s="24">
        <f>IF(AQ29="2",BH29,0)</f>
        <v>0</v>
      </c>
      <c r="AG29" s="24">
        <f>IF(AQ29="2",BI29,0)</f>
        <v>0</v>
      </c>
      <c r="AH29" s="24">
        <f>IF(AQ29="0",BJ29,0)</f>
        <v>0</v>
      </c>
      <c r="AI29" s="10" t="s">
        <v>52</v>
      </c>
      <c r="AJ29" s="24">
        <f>IF(AN29=0,J29,0)</f>
        <v>0</v>
      </c>
      <c r="AK29" s="24">
        <f>IF(AN29=12,J29,0)</f>
        <v>0</v>
      </c>
      <c r="AL29" s="24">
        <f>IF(AN29=21,J29,0)</f>
        <v>0</v>
      </c>
      <c r="AN29" s="24">
        <v>21</v>
      </c>
      <c r="AO29" s="24">
        <f>G29*0.0575</f>
        <v>0</v>
      </c>
      <c r="AP29" s="24">
        <f>G29*(1-0.0575)</f>
        <v>0</v>
      </c>
      <c r="AQ29" s="26" t="s">
        <v>55</v>
      </c>
      <c r="AV29" s="24">
        <f>AW29+AX29</f>
        <v>0</v>
      </c>
      <c r="AW29" s="24">
        <f>F29*AO29</f>
        <v>0</v>
      </c>
      <c r="AX29" s="24">
        <f>F29*AP29</f>
        <v>0</v>
      </c>
      <c r="AY29" s="26" t="s">
        <v>108</v>
      </c>
      <c r="AZ29" s="26" t="s">
        <v>109</v>
      </c>
      <c r="BA29" s="10" t="s">
        <v>62</v>
      </c>
      <c r="BC29" s="24">
        <f>AW29+AX29</f>
        <v>0</v>
      </c>
      <c r="BD29" s="24">
        <f>G29/(100-BE29)*100</f>
        <v>0</v>
      </c>
      <c r="BE29" s="24">
        <v>0</v>
      </c>
      <c r="BF29" s="24">
        <f>29</f>
        <v>29</v>
      </c>
      <c r="BH29" s="24">
        <f>F29*AO29</f>
        <v>0</v>
      </c>
      <c r="BI29" s="24">
        <f>F29*AP29</f>
        <v>0</v>
      </c>
      <c r="BJ29" s="24">
        <f>F29*G29</f>
        <v>0</v>
      </c>
      <c r="BK29" s="24"/>
      <c r="BL29" s="24">
        <v>56</v>
      </c>
      <c r="BW29" s="24">
        <v>21</v>
      </c>
      <c r="BX29" s="4" t="s">
        <v>107</v>
      </c>
    </row>
    <row r="30" spans="1:76" x14ac:dyDescent="0.25">
      <c r="A30" s="2" t="s">
        <v>110</v>
      </c>
      <c r="B30" s="3" t="s">
        <v>111</v>
      </c>
      <c r="C30" s="68" t="s">
        <v>112</v>
      </c>
      <c r="D30" s="63"/>
      <c r="E30" s="3" t="s">
        <v>58</v>
      </c>
      <c r="F30" s="24">
        <v>450</v>
      </c>
      <c r="G30" s="24">
        <v>0</v>
      </c>
      <c r="H30" s="24">
        <f>F30*AO30</f>
        <v>0</v>
      </c>
      <c r="I30" s="24">
        <f>F30*AP30</f>
        <v>0</v>
      </c>
      <c r="J30" s="24">
        <f>F30*G30</f>
        <v>0</v>
      </c>
      <c r="K30" s="25" t="s">
        <v>59</v>
      </c>
      <c r="Z30" s="24">
        <f>IF(AQ30="5",BJ30,0)</f>
        <v>0</v>
      </c>
      <c r="AB30" s="24">
        <f>IF(AQ30="1",BH30,0)</f>
        <v>0</v>
      </c>
      <c r="AC30" s="24">
        <f>IF(AQ30="1",BI30,0)</f>
        <v>0</v>
      </c>
      <c r="AD30" s="24">
        <f>IF(AQ30="7",BH30,0)</f>
        <v>0</v>
      </c>
      <c r="AE30" s="24">
        <f>IF(AQ30="7",BI30,0)</f>
        <v>0</v>
      </c>
      <c r="AF30" s="24">
        <f>IF(AQ30="2",BH30,0)</f>
        <v>0</v>
      </c>
      <c r="AG30" s="24">
        <f>IF(AQ30="2",BI30,0)</f>
        <v>0</v>
      </c>
      <c r="AH30" s="24">
        <f>IF(AQ30="0",BJ30,0)</f>
        <v>0</v>
      </c>
      <c r="AI30" s="10" t="s">
        <v>52</v>
      </c>
      <c r="AJ30" s="24">
        <f>IF(AN30=0,J30,0)</f>
        <v>0</v>
      </c>
      <c r="AK30" s="24">
        <f>IF(AN30=12,J30,0)</f>
        <v>0</v>
      </c>
      <c r="AL30" s="24">
        <f>IF(AN30=21,J30,0)</f>
        <v>0</v>
      </c>
      <c r="AN30" s="24">
        <v>21</v>
      </c>
      <c r="AO30" s="24">
        <f>G30*0</f>
        <v>0</v>
      </c>
      <c r="AP30" s="24">
        <f>G30*(1-0)</f>
        <v>0</v>
      </c>
      <c r="AQ30" s="26" t="s">
        <v>55</v>
      </c>
      <c r="AV30" s="24">
        <f>AW30+AX30</f>
        <v>0</v>
      </c>
      <c r="AW30" s="24">
        <f>F30*AO30</f>
        <v>0</v>
      </c>
      <c r="AX30" s="24">
        <f>F30*AP30</f>
        <v>0</v>
      </c>
      <c r="AY30" s="26" t="s">
        <v>108</v>
      </c>
      <c r="AZ30" s="26" t="s">
        <v>109</v>
      </c>
      <c r="BA30" s="10" t="s">
        <v>62</v>
      </c>
      <c r="BC30" s="24">
        <f>AW30+AX30</f>
        <v>0</v>
      </c>
      <c r="BD30" s="24">
        <f>G30/(100-BE30)*100</f>
        <v>0</v>
      </c>
      <c r="BE30" s="24">
        <v>0</v>
      </c>
      <c r="BF30" s="24">
        <f>30</f>
        <v>30</v>
      </c>
      <c r="BH30" s="24">
        <f>F30*AO30</f>
        <v>0</v>
      </c>
      <c r="BI30" s="24">
        <f>F30*AP30</f>
        <v>0</v>
      </c>
      <c r="BJ30" s="24">
        <f>F30*G30</f>
        <v>0</v>
      </c>
      <c r="BK30" s="24"/>
      <c r="BL30" s="24">
        <v>56</v>
      </c>
      <c r="BW30" s="24">
        <v>21</v>
      </c>
      <c r="BX30" s="4" t="s">
        <v>112</v>
      </c>
    </row>
    <row r="31" spans="1:76" x14ac:dyDescent="0.25">
      <c r="A31" s="2" t="s">
        <v>113</v>
      </c>
      <c r="B31" s="3" t="s">
        <v>114</v>
      </c>
      <c r="C31" s="68" t="s">
        <v>115</v>
      </c>
      <c r="D31" s="63"/>
      <c r="E31" s="3" t="s">
        <v>58</v>
      </c>
      <c r="F31" s="24">
        <v>210</v>
      </c>
      <c r="G31" s="24">
        <v>0</v>
      </c>
      <c r="H31" s="24">
        <f>F31*AO31</f>
        <v>0</v>
      </c>
      <c r="I31" s="24">
        <f>F31*AP31</f>
        <v>0</v>
      </c>
      <c r="J31" s="24">
        <f>F31*G31</f>
        <v>0</v>
      </c>
      <c r="K31" s="25" t="s">
        <v>59</v>
      </c>
      <c r="Z31" s="24">
        <f>IF(AQ31="5",BJ31,0)</f>
        <v>0</v>
      </c>
      <c r="AB31" s="24">
        <f>IF(AQ31="1",BH31,0)</f>
        <v>0</v>
      </c>
      <c r="AC31" s="24">
        <f>IF(AQ31="1",BI31,0)</f>
        <v>0</v>
      </c>
      <c r="AD31" s="24">
        <f>IF(AQ31="7",BH31,0)</f>
        <v>0</v>
      </c>
      <c r="AE31" s="24">
        <f>IF(AQ31="7",BI31,0)</f>
        <v>0</v>
      </c>
      <c r="AF31" s="24">
        <f>IF(AQ31="2",BH31,0)</f>
        <v>0</v>
      </c>
      <c r="AG31" s="24">
        <f>IF(AQ31="2",BI31,0)</f>
        <v>0</v>
      </c>
      <c r="AH31" s="24">
        <f>IF(AQ31="0",BJ31,0)</f>
        <v>0</v>
      </c>
      <c r="AI31" s="10" t="s">
        <v>52</v>
      </c>
      <c r="AJ31" s="24">
        <f>IF(AN31=0,J31,0)</f>
        <v>0</v>
      </c>
      <c r="AK31" s="24">
        <f>IF(AN31=12,J31,0)</f>
        <v>0</v>
      </c>
      <c r="AL31" s="24">
        <f>IF(AN31=21,J31,0)</f>
        <v>0</v>
      </c>
      <c r="AN31" s="24">
        <v>21</v>
      </c>
      <c r="AO31" s="24">
        <f>G31*0.825526316</f>
        <v>0</v>
      </c>
      <c r="AP31" s="24">
        <f>G31*(1-0.825526316)</f>
        <v>0</v>
      </c>
      <c r="AQ31" s="26" t="s">
        <v>55</v>
      </c>
      <c r="AV31" s="24">
        <f>AW31+AX31</f>
        <v>0</v>
      </c>
      <c r="AW31" s="24">
        <f>F31*AO31</f>
        <v>0</v>
      </c>
      <c r="AX31" s="24">
        <f>F31*AP31</f>
        <v>0</v>
      </c>
      <c r="AY31" s="26" t="s">
        <v>108</v>
      </c>
      <c r="AZ31" s="26" t="s">
        <v>109</v>
      </c>
      <c r="BA31" s="10" t="s">
        <v>62</v>
      </c>
      <c r="BC31" s="24">
        <f>AW31+AX31</f>
        <v>0</v>
      </c>
      <c r="BD31" s="24">
        <f>G31/(100-BE31)*100</f>
        <v>0</v>
      </c>
      <c r="BE31" s="24">
        <v>0</v>
      </c>
      <c r="BF31" s="24">
        <f>31</f>
        <v>31</v>
      </c>
      <c r="BH31" s="24">
        <f>F31*AO31</f>
        <v>0</v>
      </c>
      <c r="BI31" s="24">
        <f>F31*AP31</f>
        <v>0</v>
      </c>
      <c r="BJ31" s="24">
        <f>F31*G31</f>
        <v>0</v>
      </c>
      <c r="BK31" s="24"/>
      <c r="BL31" s="24">
        <v>56</v>
      </c>
      <c r="BW31" s="24">
        <v>21</v>
      </c>
      <c r="BX31" s="4" t="s">
        <v>115</v>
      </c>
    </row>
    <row r="32" spans="1:76" x14ac:dyDescent="0.25">
      <c r="A32" s="2" t="s">
        <v>116</v>
      </c>
      <c r="B32" s="3" t="s">
        <v>114</v>
      </c>
      <c r="C32" s="68" t="s">
        <v>115</v>
      </c>
      <c r="D32" s="63"/>
      <c r="E32" s="3" t="s">
        <v>58</v>
      </c>
      <c r="F32" s="24">
        <v>210</v>
      </c>
      <c r="G32" s="24">
        <v>0</v>
      </c>
      <c r="H32" s="24">
        <f>F32*AO32</f>
        <v>0</v>
      </c>
      <c r="I32" s="24">
        <f>F32*AP32</f>
        <v>0</v>
      </c>
      <c r="J32" s="24">
        <f>F32*G32</f>
        <v>0</v>
      </c>
      <c r="K32" s="25" t="s">
        <v>59</v>
      </c>
      <c r="Z32" s="24">
        <f>IF(AQ32="5",BJ32,0)</f>
        <v>0</v>
      </c>
      <c r="AB32" s="24">
        <f>IF(AQ32="1",BH32,0)</f>
        <v>0</v>
      </c>
      <c r="AC32" s="24">
        <f>IF(AQ32="1",BI32,0)</f>
        <v>0</v>
      </c>
      <c r="AD32" s="24">
        <f>IF(AQ32="7",BH32,0)</f>
        <v>0</v>
      </c>
      <c r="AE32" s="24">
        <f>IF(AQ32="7",BI32,0)</f>
        <v>0</v>
      </c>
      <c r="AF32" s="24">
        <f>IF(AQ32="2",BH32,0)</f>
        <v>0</v>
      </c>
      <c r="AG32" s="24">
        <f>IF(AQ32="2",BI32,0)</f>
        <v>0</v>
      </c>
      <c r="AH32" s="24">
        <f>IF(AQ32="0",BJ32,0)</f>
        <v>0</v>
      </c>
      <c r="AI32" s="10" t="s">
        <v>52</v>
      </c>
      <c r="AJ32" s="24">
        <f>IF(AN32=0,J32,0)</f>
        <v>0</v>
      </c>
      <c r="AK32" s="24">
        <f>IF(AN32=12,J32,0)</f>
        <v>0</v>
      </c>
      <c r="AL32" s="24">
        <f>IF(AN32=21,J32,0)</f>
        <v>0</v>
      </c>
      <c r="AN32" s="24">
        <v>21</v>
      </c>
      <c r="AO32" s="24">
        <f>G32*0.825526316</f>
        <v>0</v>
      </c>
      <c r="AP32" s="24">
        <f>G32*(1-0.825526316)</f>
        <v>0</v>
      </c>
      <c r="AQ32" s="26" t="s">
        <v>55</v>
      </c>
      <c r="AV32" s="24">
        <f>AW32+AX32</f>
        <v>0</v>
      </c>
      <c r="AW32" s="24">
        <f>F32*AO32</f>
        <v>0</v>
      </c>
      <c r="AX32" s="24">
        <f>F32*AP32</f>
        <v>0</v>
      </c>
      <c r="AY32" s="26" t="s">
        <v>108</v>
      </c>
      <c r="AZ32" s="26" t="s">
        <v>109</v>
      </c>
      <c r="BA32" s="10" t="s">
        <v>62</v>
      </c>
      <c r="BC32" s="24">
        <f>AW32+AX32</f>
        <v>0</v>
      </c>
      <c r="BD32" s="24">
        <f>G32/(100-BE32)*100</f>
        <v>0</v>
      </c>
      <c r="BE32" s="24">
        <v>0</v>
      </c>
      <c r="BF32" s="24">
        <f>32</f>
        <v>32</v>
      </c>
      <c r="BH32" s="24">
        <f>F32*AO32</f>
        <v>0</v>
      </c>
      <c r="BI32" s="24">
        <f>F32*AP32</f>
        <v>0</v>
      </c>
      <c r="BJ32" s="24">
        <f>F32*G32</f>
        <v>0</v>
      </c>
      <c r="BK32" s="24"/>
      <c r="BL32" s="24">
        <v>56</v>
      </c>
      <c r="BW32" s="24">
        <v>21</v>
      </c>
      <c r="BX32" s="4" t="s">
        <v>115</v>
      </c>
    </row>
    <row r="33" spans="1:76" x14ac:dyDescent="0.25">
      <c r="A33" s="27" t="s">
        <v>52</v>
      </c>
      <c r="B33" s="28" t="s">
        <v>117</v>
      </c>
      <c r="C33" s="84" t="s">
        <v>118</v>
      </c>
      <c r="D33" s="85"/>
      <c r="E33" s="29" t="s">
        <v>19</v>
      </c>
      <c r="F33" s="29" t="s">
        <v>19</v>
      </c>
      <c r="G33" s="29" t="s">
        <v>19</v>
      </c>
      <c r="H33" s="1">
        <f>SUM(H34:H35)</f>
        <v>0</v>
      </c>
      <c r="I33" s="1">
        <f>SUM(I34:I35)</f>
        <v>0</v>
      </c>
      <c r="J33" s="1">
        <f>SUM(J34:J35)</f>
        <v>0</v>
      </c>
      <c r="K33" s="30" t="s">
        <v>52</v>
      </c>
      <c r="AI33" s="10" t="s">
        <v>52</v>
      </c>
      <c r="AS33" s="1">
        <f>SUM(AJ34:AJ35)</f>
        <v>0</v>
      </c>
      <c r="AT33" s="1">
        <f>SUM(AK34:AK35)</f>
        <v>0</v>
      </c>
      <c r="AU33" s="1">
        <f>SUM(AL34:AL35)</f>
        <v>0</v>
      </c>
    </row>
    <row r="34" spans="1:76" x14ac:dyDescent="0.25">
      <c r="A34" s="2" t="s">
        <v>119</v>
      </c>
      <c r="B34" s="3" t="s">
        <v>120</v>
      </c>
      <c r="C34" s="68" t="s">
        <v>121</v>
      </c>
      <c r="D34" s="63"/>
      <c r="E34" s="3" t="s">
        <v>58</v>
      </c>
      <c r="F34" s="24">
        <v>252</v>
      </c>
      <c r="G34" s="24">
        <v>0</v>
      </c>
      <c r="H34" s="24">
        <f>F34*AO34</f>
        <v>0</v>
      </c>
      <c r="I34" s="24">
        <f>F34*AP34</f>
        <v>0</v>
      </c>
      <c r="J34" s="24">
        <f>F34*G34</f>
        <v>0</v>
      </c>
      <c r="K34" s="25" t="s">
        <v>59</v>
      </c>
      <c r="Z34" s="24">
        <f>IF(AQ34="5",BJ34,0)</f>
        <v>0</v>
      </c>
      <c r="AB34" s="24">
        <f>IF(AQ34="1",BH34,0)</f>
        <v>0</v>
      </c>
      <c r="AC34" s="24">
        <f>IF(AQ34="1",BI34,0)</f>
        <v>0</v>
      </c>
      <c r="AD34" s="24">
        <f>IF(AQ34="7",BH34,0)</f>
        <v>0</v>
      </c>
      <c r="AE34" s="24">
        <f>IF(AQ34="7",BI34,0)</f>
        <v>0</v>
      </c>
      <c r="AF34" s="24">
        <f>IF(AQ34="2",BH34,0)</f>
        <v>0</v>
      </c>
      <c r="AG34" s="24">
        <f>IF(AQ34="2",BI34,0)</f>
        <v>0</v>
      </c>
      <c r="AH34" s="24">
        <f>IF(AQ34="0",BJ34,0)</f>
        <v>0</v>
      </c>
      <c r="AI34" s="10" t="s">
        <v>52</v>
      </c>
      <c r="AJ34" s="24">
        <f>IF(AN34=0,J34,0)</f>
        <v>0</v>
      </c>
      <c r="AK34" s="24">
        <f>IF(AN34=12,J34,0)</f>
        <v>0</v>
      </c>
      <c r="AL34" s="24">
        <f>IF(AN34=21,J34,0)</f>
        <v>0</v>
      </c>
      <c r="AN34" s="24">
        <v>21</v>
      </c>
      <c r="AO34" s="24">
        <f>G34*0.533057143</f>
        <v>0</v>
      </c>
      <c r="AP34" s="24">
        <f>G34*(1-0.533057143)</f>
        <v>0</v>
      </c>
      <c r="AQ34" s="26" t="s">
        <v>55</v>
      </c>
      <c r="AV34" s="24">
        <f>AW34+AX34</f>
        <v>0</v>
      </c>
      <c r="AW34" s="24">
        <f>F34*AO34</f>
        <v>0</v>
      </c>
      <c r="AX34" s="24">
        <f>F34*AP34</f>
        <v>0</v>
      </c>
      <c r="AY34" s="26" t="s">
        <v>122</v>
      </c>
      <c r="AZ34" s="26" t="s">
        <v>109</v>
      </c>
      <c r="BA34" s="10" t="s">
        <v>62</v>
      </c>
      <c r="BC34" s="24">
        <f>AW34+AX34</f>
        <v>0</v>
      </c>
      <c r="BD34" s="24">
        <f>G34/(100-BE34)*100</f>
        <v>0</v>
      </c>
      <c r="BE34" s="24">
        <v>0</v>
      </c>
      <c r="BF34" s="24">
        <f>34</f>
        <v>34</v>
      </c>
      <c r="BH34" s="24">
        <f>F34*AO34</f>
        <v>0</v>
      </c>
      <c r="BI34" s="24">
        <f>F34*AP34</f>
        <v>0</v>
      </c>
      <c r="BJ34" s="24">
        <f>F34*G34</f>
        <v>0</v>
      </c>
      <c r="BK34" s="24"/>
      <c r="BL34" s="24">
        <v>59</v>
      </c>
      <c r="BW34" s="24">
        <v>21</v>
      </c>
      <c r="BX34" s="4" t="s">
        <v>121</v>
      </c>
    </row>
    <row r="35" spans="1:76" x14ac:dyDescent="0.25">
      <c r="A35" s="2" t="s">
        <v>90</v>
      </c>
      <c r="B35" s="3" t="s">
        <v>123</v>
      </c>
      <c r="C35" s="68" t="s">
        <v>124</v>
      </c>
      <c r="D35" s="63"/>
      <c r="E35" s="3" t="s">
        <v>58</v>
      </c>
      <c r="F35" s="24">
        <v>195</v>
      </c>
      <c r="G35" s="24">
        <v>0</v>
      </c>
      <c r="H35" s="24">
        <f>F35*AO35</f>
        <v>0</v>
      </c>
      <c r="I35" s="24">
        <f>F35*AP35</f>
        <v>0</v>
      </c>
      <c r="J35" s="24">
        <f>F35*G35</f>
        <v>0</v>
      </c>
      <c r="K35" s="25" t="s">
        <v>59</v>
      </c>
      <c r="Z35" s="24">
        <f>IF(AQ35="5",BJ35,0)</f>
        <v>0</v>
      </c>
      <c r="AB35" s="24">
        <f>IF(AQ35="1",BH35,0)</f>
        <v>0</v>
      </c>
      <c r="AC35" s="24">
        <f>IF(AQ35="1",BI35,0)</f>
        <v>0</v>
      </c>
      <c r="AD35" s="24">
        <f>IF(AQ35="7",BH35,0)</f>
        <v>0</v>
      </c>
      <c r="AE35" s="24">
        <f>IF(AQ35="7",BI35,0)</f>
        <v>0</v>
      </c>
      <c r="AF35" s="24">
        <f>IF(AQ35="2",BH35,0)</f>
        <v>0</v>
      </c>
      <c r="AG35" s="24">
        <f>IF(AQ35="2",BI35,0)</f>
        <v>0</v>
      </c>
      <c r="AH35" s="24">
        <f>IF(AQ35="0",BJ35,0)</f>
        <v>0</v>
      </c>
      <c r="AI35" s="10" t="s">
        <v>52</v>
      </c>
      <c r="AJ35" s="24">
        <f>IF(AN35=0,J35,0)</f>
        <v>0</v>
      </c>
      <c r="AK35" s="24">
        <f>IF(AN35=12,J35,0)</f>
        <v>0</v>
      </c>
      <c r="AL35" s="24">
        <f>IF(AN35=21,J35,0)</f>
        <v>0</v>
      </c>
      <c r="AN35" s="24">
        <v>21</v>
      </c>
      <c r="AO35" s="24">
        <f>G35*0.154257975</f>
        <v>0</v>
      </c>
      <c r="AP35" s="24">
        <f>G35*(1-0.154257975)</f>
        <v>0</v>
      </c>
      <c r="AQ35" s="26" t="s">
        <v>55</v>
      </c>
      <c r="AV35" s="24">
        <f>AW35+AX35</f>
        <v>0</v>
      </c>
      <c r="AW35" s="24">
        <f>F35*AO35</f>
        <v>0</v>
      </c>
      <c r="AX35" s="24">
        <f>F35*AP35</f>
        <v>0</v>
      </c>
      <c r="AY35" s="26" t="s">
        <v>122</v>
      </c>
      <c r="AZ35" s="26" t="s">
        <v>109</v>
      </c>
      <c r="BA35" s="10" t="s">
        <v>62</v>
      </c>
      <c r="BC35" s="24">
        <f>AW35+AX35</f>
        <v>0</v>
      </c>
      <c r="BD35" s="24">
        <f>G35/(100-BE35)*100</f>
        <v>0</v>
      </c>
      <c r="BE35" s="24">
        <v>0</v>
      </c>
      <c r="BF35" s="24">
        <f>35</f>
        <v>35</v>
      </c>
      <c r="BH35" s="24">
        <f>F35*AO35</f>
        <v>0</v>
      </c>
      <c r="BI35" s="24">
        <f>F35*AP35</f>
        <v>0</v>
      </c>
      <c r="BJ35" s="24">
        <f>F35*G35</f>
        <v>0</v>
      </c>
      <c r="BK35" s="24"/>
      <c r="BL35" s="24">
        <v>59</v>
      </c>
      <c r="BW35" s="24">
        <v>21</v>
      </c>
      <c r="BX35" s="4" t="s">
        <v>124</v>
      </c>
    </row>
    <row r="36" spans="1:76" x14ac:dyDescent="0.25">
      <c r="A36" s="27" t="s">
        <v>52</v>
      </c>
      <c r="B36" s="28" t="s">
        <v>125</v>
      </c>
      <c r="C36" s="84" t="s">
        <v>126</v>
      </c>
      <c r="D36" s="85"/>
      <c r="E36" s="29" t="s">
        <v>19</v>
      </c>
      <c r="F36" s="29" t="s">
        <v>19</v>
      </c>
      <c r="G36" s="29" t="s">
        <v>19</v>
      </c>
      <c r="H36" s="1">
        <f>SUM(H37:H38)</f>
        <v>0</v>
      </c>
      <c r="I36" s="1">
        <f>SUM(I37:I38)</f>
        <v>0</v>
      </c>
      <c r="J36" s="1">
        <f>SUM(J37:J38)</f>
        <v>0</v>
      </c>
      <c r="K36" s="30" t="s">
        <v>52</v>
      </c>
      <c r="AI36" s="10" t="s">
        <v>52</v>
      </c>
      <c r="AS36" s="1">
        <f>SUM(AJ37:AJ38)</f>
        <v>0</v>
      </c>
      <c r="AT36" s="1">
        <f>SUM(AK37:AK38)</f>
        <v>0</v>
      </c>
      <c r="AU36" s="1">
        <f>SUM(AL37:AL38)</f>
        <v>0</v>
      </c>
    </row>
    <row r="37" spans="1:76" x14ac:dyDescent="0.25">
      <c r="A37" s="2" t="s">
        <v>127</v>
      </c>
      <c r="B37" s="3" t="s">
        <v>128</v>
      </c>
      <c r="C37" s="68" t="s">
        <v>129</v>
      </c>
      <c r="D37" s="63"/>
      <c r="E37" s="3" t="s">
        <v>103</v>
      </c>
      <c r="F37" s="24">
        <v>1</v>
      </c>
      <c r="G37" s="24">
        <v>0</v>
      </c>
      <c r="H37" s="24">
        <f>F37*AO37</f>
        <v>0</v>
      </c>
      <c r="I37" s="24">
        <f>F37*AP37</f>
        <v>0</v>
      </c>
      <c r="J37" s="24">
        <f>F37*G37</f>
        <v>0</v>
      </c>
      <c r="K37" s="25" t="s">
        <v>59</v>
      </c>
      <c r="Z37" s="24">
        <f>IF(AQ37="5",BJ37,0)</f>
        <v>0</v>
      </c>
      <c r="AB37" s="24">
        <f>IF(AQ37="1",BH37,0)</f>
        <v>0</v>
      </c>
      <c r="AC37" s="24">
        <f>IF(AQ37="1",BI37,0)</f>
        <v>0</v>
      </c>
      <c r="AD37" s="24">
        <f>IF(AQ37="7",BH37,0)</f>
        <v>0</v>
      </c>
      <c r="AE37" s="24">
        <f>IF(AQ37="7",BI37,0)</f>
        <v>0</v>
      </c>
      <c r="AF37" s="24">
        <f>IF(AQ37="2",BH37,0)</f>
        <v>0</v>
      </c>
      <c r="AG37" s="24">
        <f>IF(AQ37="2",BI37,0)</f>
        <v>0</v>
      </c>
      <c r="AH37" s="24">
        <f>IF(AQ37="0",BJ37,0)</f>
        <v>0</v>
      </c>
      <c r="AI37" s="10" t="s">
        <v>52</v>
      </c>
      <c r="AJ37" s="24">
        <f>IF(AN37=0,J37,0)</f>
        <v>0</v>
      </c>
      <c r="AK37" s="24">
        <f>IF(AN37=12,J37,0)</f>
        <v>0</v>
      </c>
      <c r="AL37" s="24">
        <f>IF(AN37=21,J37,0)</f>
        <v>0</v>
      </c>
      <c r="AN37" s="24">
        <v>21</v>
      </c>
      <c r="AO37" s="24">
        <f>G37*0.3184608</f>
        <v>0</v>
      </c>
      <c r="AP37" s="24">
        <f>G37*(1-0.3184608)</f>
        <v>0</v>
      </c>
      <c r="AQ37" s="26" t="s">
        <v>55</v>
      </c>
      <c r="AV37" s="24">
        <f>AW37+AX37</f>
        <v>0</v>
      </c>
      <c r="AW37" s="24">
        <f>F37*AO37</f>
        <v>0</v>
      </c>
      <c r="AX37" s="24">
        <f>F37*AP37</f>
        <v>0</v>
      </c>
      <c r="AY37" s="26" t="s">
        <v>130</v>
      </c>
      <c r="AZ37" s="26" t="s">
        <v>131</v>
      </c>
      <c r="BA37" s="10" t="s">
        <v>62</v>
      </c>
      <c r="BC37" s="24">
        <f>AW37+AX37</f>
        <v>0</v>
      </c>
      <c r="BD37" s="24">
        <f>G37/(100-BE37)*100</f>
        <v>0</v>
      </c>
      <c r="BE37" s="24">
        <v>0</v>
      </c>
      <c r="BF37" s="24">
        <f>37</f>
        <v>37</v>
      </c>
      <c r="BH37" s="24">
        <f>F37*AO37</f>
        <v>0</v>
      </c>
      <c r="BI37" s="24">
        <f>F37*AP37</f>
        <v>0</v>
      </c>
      <c r="BJ37" s="24">
        <f>F37*G37</f>
        <v>0</v>
      </c>
      <c r="BK37" s="24"/>
      <c r="BL37" s="24">
        <v>89</v>
      </c>
      <c r="BW37" s="24">
        <v>21</v>
      </c>
      <c r="BX37" s="4" t="s">
        <v>129</v>
      </c>
    </row>
    <row r="38" spans="1:76" x14ac:dyDescent="0.25">
      <c r="A38" s="2" t="s">
        <v>132</v>
      </c>
      <c r="B38" s="3" t="s">
        <v>133</v>
      </c>
      <c r="C38" s="68" t="s">
        <v>134</v>
      </c>
      <c r="D38" s="63"/>
      <c r="E38" s="3" t="s">
        <v>103</v>
      </c>
      <c r="F38" s="24">
        <v>4</v>
      </c>
      <c r="G38" s="24">
        <v>0</v>
      </c>
      <c r="H38" s="24">
        <f>F38*AO38</f>
        <v>0</v>
      </c>
      <c r="I38" s="24">
        <f>F38*AP38</f>
        <v>0</v>
      </c>
      <c r="J38" s="24">
        <f>F38*G38</f>
        <v>0</v>
      </c>
      <c r="K38" s="25" t="s">
        <v>59</v>
      </c>
      <c r="Z38" s="24">
        <f>IF(AQ38="5",BJ38,0)</f>
        <v>0</v>
      </c>
      <c r="AB38" s="24">
        <f>IF(AQ38="1",BH38,0)</f>
        <v>0</v>
      </c>
      <c r="AC38" s="24">
        <f>IF(AQ38="1",BI38,0)</f>
        <v>0</v>
      </c>
      <c r="AD38" s="24">
        <f>IF(AQ38="7",BH38,0)</f>
        <v>0</v>
      </c>
      <c r="AE38" s="24">
        <f>IF(AQ38="7",BI38,0)</f>
        <v>0</v>
      </c>
      <c r="AF38" s="24">
        <f>IF(AQ38="2",BH38,0)</f>
        <v>0</v>
      </c>
      <c r="AG38" s="24">
        <f>IF(AQ38="2",BI38,0)</f>
        <v>0</v>
      </c>
      <c r="AH38" s="24">
        <f>IF(AQ38="0",BJ38,0)</f>
        <v>0</v>
      </c>
      <c r="AI38" s="10" t="s">
        <v>52</v>
      </c>
      <c r="AJ38" s="24">
        <f>IF(AN38=0,J38,0)</f>
        <v>0</v>
      </c>
      <c r="AK38" s="24">
        <f>IF(AN38=12,J38,0)</f>
        <v>0</v>
      </c>
      <c r="AL38" s="24">
        <f>IF(AN38=21,J38,0)</f>
        <v>0</v>
      </c>
      <c r="AN38" s="24">
        <v>21</v>
      </c>
      <c r="AO38" s="24">
        <f>G38*0.338885802</f>
        <v>0</v>
      </c>
      <c r="AP38" s="24">
        <f>G38*(1-0.338885802)</f>
        <v>0</v>
      </c>
      <c r="AQ38" s="26" t="s">
        <v>55</v>
      </c>
      <c r="AV38" s="24">
        <f>AW38+AX38</f>
        <v>0</v>
      </c>
      <c r="AW38" s="24">
        <f>F38*AO38</f>
        <v>0</v>
      </c>
      <c r="AX38" s="24">
        <f>F38*AP38</f>
        <v>0</v>
      </c>
      <c r="AY38" s="26" t="s">
        <v>130</v>
      </c>
      <c r="AZ38" s="26" t="s">
        <v>131</v>
      </c>
      <c r="BA38" s="10" t="s">
        <v>62</v>
      </c>
      <c r="BC38" s="24">
        <f>AW38+AX38</f>
        <v>0</v>
      </c>
      <c r="BD38" s="24">
        <f>G38/(100-BE38)*100</f>
        <v>0</v>
      </c>
      <c r="BE38" s="24">
        <v>0</v>
      </c>
      <c r="BF38" s="24">
        <f>38</f>
        <v>38</v>
      </c>
      <c r="BH38" s="24">
        <f>F38*AO38</f>
        <v>0</v>
      </c>
      <c r="BI38" s="24">
        <f>F38*AP38</f>
        <v>0</v>
      </c>
      <c r="BJ38" s="24">
        <f>F38*G38</f>
        <v>0</v>
      </c>
      <c r="BK38" s="24"/>
      <c r="BL38" s="24">
        <v>89</v>
      </c>
      <c r="BW38" s="24">
        <v>21</v>
      </c>
      <c r="BX38" s="4" t="s">
        <v>134</v>
      </c>
    </row>
    <row r="39" spans="1:76" x14ac:dyDescent="0.25">
      <c r="A39" s="27" t="s">
        <v>52</v>
      </c>
      <c r="B39" s="28" t="s">
        <v>135</v>
      </c>
      <c r="C39" s="84" t="s">
        <v>136</v>
      </c>
      <c r="D39" s="85"/>
      <c r="E39" s="29" t="s">
        <v>19</v>
      </c>
      <c r="F39" s="29" t="s">
        <v>19</v>
      </c>
      <c r="G39" s="29" t="s">
        <v>19</v>
      </c>
      <c r="H39" s="1">
        <f>SUM(H40:H47)</f>
        <v>0</v>
      </c>
      <c r="I39" s="1">
        <f>SUM(I40:I47)</f>
        <v>0</v>
      </c>
      <c r="J39" s="1">
        <f>SUM(J40:J47)</f>
        <v>0</v>
      </c>
      <c r="K39" s="30" t="s">
        <v>52</v>
      </c>
      <c r="AI39" s="10" t="s">
        <v>52</v>
      </c>
      <c r="AS39" s="1">
        <f>SUM(AJ40:AJ47)</f>
        <v>0</v>
      </c>
      <c r="AT39" s="1">
        <f>SUM(AK40:AK47)</f>
        <v>0</v>
      </c>
      <c r="AU39" s="1">
        <f>SUM(AL40:AL47)</f>
        <v>0</v>
      </c>
    </row>
    <row r="40" spans="1:76" x14ac:dyDescent="0.25">
      <c r="A40" s="2" t="s">
        <v>137</v>
      </c>
      <c r="B40" s="3" t="s">
        <v>138</v>
      </c>
      <c r="C40" s="68" t="s">
        <v>139</v>
      </c>
      <c r="D40" s="63"/>
      <c r="E40" s="3" t="s">
        <v>66</v>
      </c>
      <c r="F40" s="24">
        <v>98</v>
      </c>
      <c r="G40" s="24">
        <v>0</v>
      </c>
      <c r="H40" s="24">
        <f t="shared" ref="H40:H47" si="0">F40*AO40</f>
        <v>0</v>
      </c>
      <c r="I40" s="24">
        <f t="shared" ref="I40:I47" si="1">F40*AP40</f>
        <v>0</v>
      </c>
      <c r="J40" s="24">
        <f t="shared" ref="J40:J47" si="2">F40*G40</f>
        <v>0</v>
      </c>
      <c r="K40" s="25" t="s">
        <v>59</v>
      </c>
      <c r="Z40" s="24">
        <f t="shared" ref="Z40:Z47" si="3">IF(AQ40="5",BJ40,0)</f>
        <v>0</v>
      </c>
      <c r="AB40" s="24">
        <f t="shared" ref="AB40:AB47" si="4">IF(AQ40="1",BH40,0)</f>
        <v>0</v>
      </c>
      <c r="AC40" s="24">
        <f t="shared" ref="AC40:AC47" si="5">IF(AQ40="1",BI40,0)</f>
        <v>0</v>
      </c>
      <c r="AD40" s="24">
        <f t="shared" ref="AD40:AD47" si="6">IF(AQ40="7",BH40,0)</f>
        <v>0</v>
      </c>
      <c r="AE40" s="24">
        <f t="shared" ref="AE40:AE47" si="7">IF(AQ40="7",BI40,0)</f>
        <v>0</v>
      </c>
      <c r="AF40" s="24">
        <f t="shared" ref="AF40:AF47" si="8">IF(AQ40="2",BH40,0)</f>
        <v>0</v>
      </c>
      <c r="AG40" s="24">
        <f t="shared" ref="AG40:AG47" si="9">IF(AQ40="2",BI40,0)</f>
        <v>0</v>
      </c>
      <c r="AH40" s="24">
        <f t="shared" ref="AH40:AH47" si="10">IF(AQ40="0",BJ40,0)</f>
        <v>0</v>
      </c>
      <c r="AI40" s="10" t="s">
        <v>52</v>
      </c>
      <c r="AJ40" s="24">
        <f t="shared" ref="AJ40:AJ47" si="11">IF(AN40=0,J40,0)</f>
        <v>0</v>
      </c>
      <c r="AK40" s="24">
        <f t="shared" ref="AK40:AK47" si="12">IF(AN40=12,J40,0)</f>
        <v>0</v>
      </c>
      <c r="AL40" s="24">
        <f t="shared" ref="AL40:AL47" si="13">IF(AN40=21,J40,0)</f>
        <v>0</v>
      </c>
      <c r="AN40" s="24">
        <v>21</v>
      </c>
      <c r="AO40" s="24">
        <f>G40*0.7643</f>
        <v>0</v>
      </c>
      <c r="AP40" s="24">
        <f>G40*(1-0.7643)</f>
        <v>0</v>
      </c>
      <c r="AQ40" s="26" t="s">
        <v>55</v>
      </c>
      <c r="AV40" s="24">
        <f t="shared" ref="AV40:AV47" si="14">AW40+AX40</f>
        <v>0</v>
      </c>
      <c r="AW40" s="24">
        <f t="shared" ref="AW40:AW47" si="15">F40*AO40</f>
        <v>0</v>
      </c>
      <c r="AX40" s="24">
        <f t="shared" ref="AX40:AX47" si="16">F40*AP40</f>
        <v>0</v>
      </c>
      <c r="AY40" s="26" t="s">
        <v>140</v>
      </c>
      <c r="AZ40" s="26" t="s">
        <v>141</v>
      </c>
      <c r="BA40" s="10" t="s">
        <v>62</v>
      </c>
      <c r="BC40" s="24">
        <f t="shared" ref="BC40:BC47" si="17">AW40+AX40</f>
        <v>0</v>
      </c>
      <c r="BD40" s="24">
        <f t="shared" ref="BD40:BD47" si="18">G40/(100-BE40)*100</f>
        <v>0</v>
      </c>
      <c r="BE40" s="24">
        <v>0</v>
      </c>
      <c r="BF40" s="24">
        <f>40</f>
        <v>40</v>
      </c>
      <c r="BH40" s="24">
        <f t="shared" ref="BH40:BH47" si="19">F40*AO40</f>
        <v>0</v>
      </c>
      <c r="BI40" s="24">
        <f t="shared" ref="BI40:BI47" si="20">F40*AP40</f>
        <v>0</v>
      </c>
      <c r="BJ40" s="24">
        <f t="shared" ref="BJ40:BJ47" si="21">F40*G40</f>
        <v>0</v>
      </c>
      <c r="BK40" s="24"/>
      <c r="BL40" s="24">
        <v>91</v>
      </c>
      <c r="BW40" s="24">
        <v>21</v>
      </c>
      <c r="BX40" s="4" t="s">
        <v>139</v>
      </c>
    </row>
    <row r="41" spans="1:76" x14ac:dyDescent="0.25">
      <c r="A41" s="2" t="s">
        <v>142</v>
      </c>
      <c r="B41" s="3" t="s">
        <v>143</v>
      </c>
      <c r="C41" s="68" t="s">
        <v>144</v>
      </c>
      <c r="D41" s="63"/>
      <c r="E41" s="3" t="s">
        <v>66</v>
      </c>
      <c r="F41" s="24">
        <v>101</v>
      </c>
      <c r="G41" s="24">
        <v>0</v>
      </c>
      <c r="H41" s="24">
        <f t="shared" si="0"/>
        <v>0</v>
      </c>
      <c r="I41" s="24">
        <f t="shared" si="1"/>
        <v>0</v>
      </c>
      <c r="J41" s="24">
        <f t="shared" si="2"/>
        <v>0</v>
      </c>
      <c r="K41" s="25" t="s">
        <v>59</v>
      </c>
      <c r="Z41" s="24">
        <f t="shared" si="3"/>
        <v>0</v>
      </c>
      <c r="AB41" s="24">
        <f t="shared" si="4"/>
        <v>0</v>
      </c>
      <c r="AC41" s="24">
        <f t="shared" si="5"/>
        <v>0</v>
      </c>
      <c r="AD41" s="24">
        <f t="shared" si="6"/>
        <v>0</v>
      </c>
      <c r="AE41" s="24">
        <f t="shared" si="7"/>
        <v>0</v>
      </c>
      <c r="AF41" s="24">
        <f t="shared" si="8"/>
        <v>0</v>
      </c>
      <c r="AG41" s="24">
        <f t="shared" si="9"/>
        <v>0</v>
      </c>
      <c r="AH41" s="24">
        <f t="shared" si="10"/>
        <v>0</v>
      </c>
      <c r="AI41" s="10" t="s">
        <v>52</v>
      </c>
      <c r="AJ41" s="24">
        <f t="shared" si="11"/>
        <v>0</v>
      </c>
      <c r="AK41" s="24">
        <f t="shared" si="12"/>
        <v>0</v>
      </c>
      <c r="AL41" s="24">
        <f t="shared" si="13"/>
        <v>0</v>
      </c>
      <c r="AN41" s="24">
        <v>21</v>
      </c>
      <c r="AO41" s="24">
        <f>G41*0.77438435</f>
        <v>0</v>
      </c>
      <c r="AP41" s="24">
        <f>G41*(1-0.77438435)</f>
        <v>0</v>
      </c>
      <c r="AQ41" s="26" t="s">
        <v>55</v>
      </c>
      <c r="AV41" s="24">
        <f t="shared" si="14"/>
        <v>0</v>
      </c>
      <c r="AW41" s="24">
        <f t="shared" si="15"/>
        <v>0</v>
      </c>
      <c r="AX41" s="24">
        <f t="shared" si="16"/>
        <v>0</v>
      </c>
      <c r="AY41" s="26" t="s">
        <v>140</v>
      </c>
      <c r="AZ41" s="26" t="s">
        <v>141</v>
      </c>
      <c r="BA41" s="10" t="s">
        <v>62</v>
      </c>
      <c r="BC41" s="24">
        <f t="shared" si="17"/>
        <v>0</v>
      </c>
      <c r="BD41" s="24">
        <f t="shared" si="18"/>
        <v>0</v>
      </c>
      <c r="BE41" s="24">
        <v>0</v>
      </c>
      <c r="BF41" s="24">
        <f>41</f>
        <v>41</v>
      </c>
      <c r="BH41" s="24">
        <f t="shared" si="19"/>
        <v>0</v>
      </c>
      <c r="BI41" s="24">
        <f t="shared" si="20"/>
        <v>0</v>
      </c>
      <c r="BJ41" s="24">
        <f t="shared" si="21"/>
        <v>0</v>
      </c>
      <c r="BK41" s="24"/>
      <c r="BL41" s="24">
        <v>91</v>
      </c>
      <c r="BW41" s="24">
        <v>21</v>
      </c>
      <c r="BX41" s="4" t="s">
        <v>144</v>
      </c>
    </row>
    <row r="42" spans="1:76" x14ac:dyDescent="0.25">
      <c r="A42" s="2" t="s">
        <v>145</v>
      </c>
      <c r="B42" s="3" t="s">
        <v>146</v>
      </c>
      <c r="C42" s="68" t="s">
        <v>147</v>
      </c>
      <c r="D42" s="63"/>
      <c r="E42" s="3" t="s">
        <v>66</v>
      </c>
      <c r="F42" s="24">
        <v>155</v>
      </c>
      <c r="G42" s="24">
        <v>0</v>
      </c>
      <c r="H42" s="24">
        <f t="shared" si="0"/>
        <v>0</v>
      </c>
      <c r="I42" s="24">
        <f t="shared" si="1"/>
        <v>0</v>
      </c>
      <c r="J42" s="24">
        <f t="shared" si="2"/>
        <v>0</v>
      </c>
      <c r="K42" s="25" t="s">
        <v>59</v>
      </c>
      <c r="Z42" s="24">
        <f t="shared" si="3"/>
        <v>0</v>
      </c>
      <c r="AB42" s="24">
        <f t="shared" si="4"/>
        <v>0</v>
      </c>
      <c r="AC42" s="24">
        <f t="shared" si="5"/>
        <v>0</v>
      </c>
      <c r="AD42" s="24">
        <f t="shared" si="6"/>
        <v>0</v>
      </c>
      <c r="AE42" s="24">
        <f t="shared" si="7"/>
        <v>0</v>
      </c>
      <c r="AF42" s="24">
        <f t="shared" si="8"/>
        <v>0</v>
      </c>
      <c r="AG42" s="24">
        <f t="shared" si="9"/>
        <v>0</v>
      </c>
      <c r="AH42" s="24">
        <f t="shared" si="10"/>
        <v>0</v>
      </c>
      <c r="AI42" s="10" t="s">
        <v>52</v>
      </c>
      <c r="AJ42" s="24">
        <f t="shared" si="11"/>
        <v>0</v>
      </c>
      <c r="AK42" s="24">
        <f t="shared" si="12"/>
        <v>0</v>
      </c>
      <c r="AL42" s="24">
        <f t="shared" si="13"/>
        <v>0</v>
      </c>
      <c r="AN42" s="24">
        <v>21</v>
      </c>
      <c r="AO42" s="24">
        <f>G42*0.556102708</f>
        <v>0</v>
      </c>
      <c r="AP42" s="24">
        <f>G42*(1-0.556102708)</f>
        <v>0</v>
      </c>
      <c r="AQ42" s="26" t="s">
        <v>55</v>
      </c>
      <c r="AV42" s="24">
        <f t="shared" si="14"/>
        <v>0</v>
      </c>
      <c r="AW42" s="24">
        <f t="shared" si="15"/>
        <v>0</v>
      </c>
      <c r="AX42" s="24">
        <f t="shared" si="16"/>
        <v>0</v>
      </c>
      <c r="AY42" s="26" t="s">
        <v>140</v>
      </c>
      <c r="AZ42" s="26" t="s">
        <v>141</v>
      </c>
      <c r="BA42" s="10" t="s">
        <v>62</v>
      </c>
      <c r="BC42" s="24">
        <f t="shared" si="17"/>
        <v>0</v>
      </c>
      <c r="BD42" s="24">
        <f t="shared" si="18"/>
        <v>0</v>
      </c>
      <c r="BE42" s="24">
        <v>0</v>
      </c>
      <c r="BF42" s="24">
        <f>42</f>
        <v>42</v>
      </c>
      <c r="BH42" s="24">
        <f t="shared" si="19"/>
        <v>0</v>
      </c>
      <c r="BI42" s="24">
        <f t="shared" si="20"/>
        <v>0</v>
      </c>
      <c r="BJ42" s="24">
        <f t="shared" si="21"/>
        <v>0</v>
      </c>
      <c r="BK42" s="24"/>
      <c r="BL42" s="24">
        <v>91</v>
      </c>
      <c r="BW42" s="24">
        <v>21</v>
      </c>
      <c r="BX42" s="4" t="s">
        <v>147</v>
      </c>
    </row>
    <row r="43" spans="1:76" x14ac:dyDescent="0.25">
      <c r="A43" s="2" t="s">
        <v>148</v>
      </c>
      <c r="B43" s="3" t="s">
        <v>149</v>
      </c>
      <c r="C43" s="68" t="s">
        <v>150</v>
      </c>
      <c r="D43" s="63"/>
      <c r="E43" s="3" t="s">
        <v>66</v>
      </c>
      <c r="F43" s="24">
        <v>85</v>
      </c>
      <c r="G43" s="24">
        <v>0</v>
      </c>
      <c r="H43" s="24">
        <f t="shared" si="0"/>
        <v>0</v>
      </c>
      <c r="I43" s="24">
        <f t="shared" si="1"/>
        <v>0</v>
      </c>
      <c r="J43" s="24">
        <f t="shared" si="2"/>
        <v>0</v>
      </c>
      <c r="K43" s="25" t="s">
        <v>59</v>
      </c>
      <c r="Z43" s="24">
        <f t="shared" si="3"/>
        <v>0</v>
      </c>
      <c r="AB43" s="24">
        <f t="shared" si="4"/>
        <v>0</v>
      </c>
      <c r="AC43" s="24">
        <f t="shared" si="5"/>
        <v>0</v>
      </c>
      <c r="AD43" s="24">
        <f t="shared" si="6"/>
        <v>0</v>
      </c>
      <c r="AE43" s="24">
        <f t="shared" si="7"/>
        <v>0</v>
      </c>
      <c r="AF43" s="24">
        <f t="shared" si="8"/>
        <v>0</v>
      </c>
      <c r="AG43" s="24">
        <f t="shared" si="9"/>
        <v>0</v>
      </c>
      <c r="AH43" s="24">
        <f t="shared" si="10"/>
        <v>0</v>
      </c>
      <c r="AI43" s="10" t="s">
        <v>52</v>
      </c>
      <c r="AJ43" s="24">
        <f t="shared" si="11"/>
        <v>0</v>
      </c>
      <c r="AK43" s="24">
        <f t="shared" si="12"/>
        <v>0</v>
      </c>
      <c r="AL43" s="24">
        <f t="shared" si="13"/>
        <v>0</v>
      </c>
      <c r="AN43" s="24">
        <v>21</v>
      </c>
      <c r="AO43" s="24">
        <f>G43*0.717094031</f>
        <v>0</v>
      </c>
      <c r="AP43" s="24">
        <f>G43*(1-0.717094031)</f>
        <v>0</v>
      </c>
      <c r="AQ43" s="26" t="s">
        <v>55</v>
      </c>
      <c r="AV43" s="24">
        <f t="shared" si="14"/>
        <v>0</v>
      </c>
      <c r="AW43" s="24">
        <f t="shared" si="15"/>
        <v>0</v>
      </c>
      <c r="AX43" s="24">
        <f t="shared" si="16"/>
        <v>0</v>
      </c>
      <c r="AY43" s="26" t="s">
        <v>140</v>
      </c>
      <c r="AZ43" s="26" t="s">
        <v>141</v>
      </c>
      <c r="BA43" s="10" t="s">
        <v>62</v>
      </c>
      <c r="BC43" s="24">
        <f t="shared" si="17"/>
        <v>0</v>
      </c>
      <c r="BD43" s="24">
        <f t="shared" si="18"/>
        <v>0</v>
      </c>
      <c r="BE43" s="24">
        <v>0</v>
      </c>
      <c r="BF43" s="24">
        <f>43</f>
        <v>43</v>
      </c>
      <c r="BH43" s="24">
        <f t="shared" si="19"/>
        <v>0</v>
      </c>
      <c r="BI43" s="24">
        <f t="shared" si="20"/>
        <v>0</v>
      </c>
      <c r="BJ43" s="24">
        <f t="shared" si="21"/>
        <v>0</v>
      </c>
      <c r="BK43" s="24"/>
      <c r="BL43" s="24">
        <v>91</v>
      </c>
      <c r="BW43" s="24">
        <v>21</v>
      </c>
      <c r="BX43" s="4" t="s">
        <v>150</v>
      </c>
    </row>
    <row r="44" spans="1:76" x14ac:dyDescent="0.25">
      <c r="A44" s="2" t="s">
        <v>151</v>
      </c>
      <c r="B44" s="3" t="s">
        <v>152</v>
      </c>
      <c r="C44" s="68" t="s">
        <v>153</v>
      </c>
      <c r="D44" s="63"/>
      <c r="E44" s="3" t="s">
        <v>66</v>
      </c>
      <c r="F44" s="24">
        <v>85</v>
      </c>
      <c r="G44" s="24">
        <v>0</v>
      </c>
      <c r="H44" s="24">
        <f t="shared" si="0"/>
        <v>0</v>
      </c>
      <c r="I44" s="24">
        <f t="shared" si="1"/>
        <v>0</v>
      </c>
      <c r="J44" s="24">
        <f t="shared" si="2"/>
        <v>0</v>
      </c>
      <c r="K44" s="25" t="s">
        <v>59</v>
      </c>
      <c r="Z44" s="24">
        <f t="shared" si="3"/>
        <v>0</v>
      </c>
      <c r="AB44" s="24">
        <f t="shared" si="4"/>
        <v>0</v>
      </c>
      <c r="AC44" s="24">
        <f t="shared" si="5"/>
        <v>0</v>
      </c>
      <c r="AD44" s="24">
        <f t="shared" si="6"/>
        <v>0</v>
      </c>
      <c r="AE44" s="24">
        <f t="shared" si="7"/>
        <v>0</v>
      </c>
      <c r="AF44" s="24">
        <f t="shared" si="8"/>
        <v>0</v>
      </c>
      <c r="AG44" s="24">
        <f t="shared" si="9"/>
        <v>0</v>
      </c>
      <c r="AH44" s="24">
        <f t="shared" si="10"/>
        <v>0</v>
      </c>
      <c r="AI44" s="10" t="s">
        <v>52</v>
      </c>
      <c r="AJ44" s="24">
        <f t="shared" si="11"/>
        <v>0</v>
      </c>
      <c r="AK44" s="24">
        <f t="shared" si="12"/>
        <v>0</v>
      </c>
      <c r="AL44" s="24">
        <f t="shared" si="13"/>
        <v>0</v>
      </c>
      <c r="AN44" s="24">
        <v>21</v>
      </c>
      <c r="AO44" s="24">
        <f>G44*0.703440095</f>
        <v>0</v>
      </c>
      <c r="AP44" s="24">
        <f>G44*(1-0.703440095)</f>
        <v>0</v>
      </c>
      <c r="AQ44" s="26" t="s">
        <v>55</v>
      </c>
      <c r="AV44" s="24">
        <f t="shared" si="14"/>
        <v>0</v>
      </c>
      <c r="AW44" s="24">
        <f t="shared" si="15"/>
        <v>0</v>
      </c>
      <c r="AX44" s="24">
        <f t="shared" si="16"/>
        <v>0</v>
      </c>
      <c r="AY44" s="26" t="s">
        <v>140</v>
      </c>
      <c r="AZ44" s="26" t="s">
        <v>141</v>
      </c>
      <c r="BA44" s="10" t="s">
        <v>62</v>
      </c>
      <c r="BC44" s="24">
        <f t="shared" si="17"/>
        <v>0</v>
      </c>
      <c r="BD44" s="24">
        <f t="shared" si="18"/>
        <v>0</v>
      </c>
      <c r="BE44" s="24">
        <v>0</v>
      </c>
      <c r="BF44" s="24">
        <f>44</f>
        <v>44</v>
      </c>
      <c r="BH44" s="24">
        <f t="shared" si="19"/>
        <v>0</v>
      </c>
      <c r="BI44" s="24">
        <f t="shared" si="20"/>
        <v>0</v>
      </c>
      <c r="BJ44" s="24">
        <f t="shared" si="21"/>
        <v>0</v>
      </c>
      <c r="BK44" s="24"/>
      <c r="BL44" s="24">
        <v>91</v>
      </c>
      <c r="BW44" s="24">
        <v>21</v>
      </c>
      <c r="BX44" s="4" t="s">
        <v>153</v>
      </c>
    </row>
    <row r="45" spans="1:76" x14ac:dyDescent="0.25">
      <c r="A45" s="2" t="s">
        <v>154</v>
      </c>
      <c r="B45" s="3" t="s">
        <v>155</v>
      </c>
      <c r="C45" s="68" t="s">
        <v>156</v>
      </c>
      <c r="D45" s="63"/>
      <c r="E45" s="3" t="s">
        <v>103</v>
      </c>
      <c r="F45" s="24">
        <v>1</v>
      </c>
      <c r="G45" s="24">
        <v>0</v>
      </c>
      <c r="H45" s="24">
        <f t="shared" si="0"/>
        <v>0</v>
      </c>
      <c r="I45" s="24">
        <f t="shared" si="1"/>
        <v>0</v>
      </c>
      <c r="J45" s="24">
        <f t="shared" si="2"/>
        <v>0</v>
      </c>
      <c r="K45" s="25" t="s">
        <v>59</v>
      </c>
      <c r="Z45" s="24">
        <f t="shared" si="3"/>
        <v>0</v>
      </c>
      <c r="AB45" s="24">
        <f t="shared" si="4"/>
        <v>0</v>
      </c>
      <c r="AC45" s="24">
        <f t="shared" si="5"/>
        <v>0</v>
      </c>
      <c r="AD45" s="24">
        <f t="shared" si="6"/>
        <v>0</v>
      </c>
      <c r="AE45" s="24">
        <f t="shared" si="7"/>
        <v>0</v>
      </c>
      <c r="AF45" s="24">
        <f t="shared" si="8"/>
        <v>0</v>
      </c>
      <c r="AG45" s="24">
        <f t="shared" si="9"/>
        <v>0</v>
      </c>
      <c r="AH45" s="24">
        <f t="shared" si="10"/>
        <v>0</v>
      </c>
      <c r="AI45" s="10" t="s">
        <v>52</v>
      </c>
      <c r="AJ45" s="24">
        <f t="shared" si="11"/>
        <v>0</v>
      </c>
      <c r="AK45" s="24">
        <f t="shared" si="12"/>
        <v>0</v>
      </c>
      <c r="AL45" s="24">
        <f t="shared" si="13"/>
        <v>0</v>
      </c>
      <c r="AN45" s="24">
        <v>21</v>
      </c>
      <c r="AO45" s="24">
        <f>G45*0.800921875</f>
        <v>0</v>
      </c>
      <c r="AP45" s="24">
        <f>G45*(1-0.800921875)</f>
        <v>0</v>
      </c>
      <c r="AQ45" s="26" t="s">
        <v>55</v>
      </c>
      <c r="AV45" s="24">
        <f t="shared" si="14"/>
        <v>0</v>
      </c>
      <c r="AW45" s="24">
        <f t="shared" si="15"/>
        <v>0</v>
      </c>
      <c r="AX45" s="24">
        <f t="shared" si="16"/>
        <v>0</v>
      </c>
      <c r="AY45" s="26" t="s">
        <v>140</v>
      </c>
      <c r="AZ45" s="26" t="s">
        <v>141</v>
      </c>
      <c r="BA45" s="10" t="s">
        <v>62</v>
      </c>
      <c r="BC45" s="24">
        <f t="shared" si="17"/>
        <v>0</v>
      </c>
      <c r="BD45" s="24">
        <f t="shared" si="18"/>
        <v>0</v>
      </c>
      <c r="BE45" s="24">
        <v>0</v>
      </c>
      <c r="BF45" s="24">
        <f>45</f>
        <v>45</v>
      </c>
      <c r="BH45" s="24">
        <f t="shared" si="19"/>
        <v>0</v>
      </c>
      <c r="BI45" s="24">
        <f t="shared" si="20"/>
        <v>0</v>
      </c>
      <c r="BJ45" s="24">
        <f t="shared" si="21"/>
        <v>0</v>
      </c>
      <c r="BK45" s="24"/>
      <c r="BL45" s="24">
        <v>91</v>
      </c>
      <c r="BW45" s="24">
        <v>21</v>
      </c>
      <c r="BX45" s="4" t="s">
        <v>156</v>
      </c>
    </row>
    <row r="46" spans="1:76" x14ac:dyDescent="0.25">
      <c r="A46" s="2" t="s">
        <v>157</v>
      </c>
      <c r="B46" s="3" t="s">
        <v>158</v>
      </c>
      <c r="C46" s="68" t="s">
        <v>159</v>
      </c>
      <c r="D46" s="63"/>
      <c r="E46" s="3" t="s">
        <v>103</v>
      </c>
      <c r="F46" s="24">
        <v>1</v>
      </c>
      <c r="G46" s="24">
        <v>0</v>
      </c>
      <c r="H46" s="24">
        <f t="shared" si="0"/>
        <v>0</v>
      </c>
      <c r="I46" s="24">
        <f t="shared" si="1"/>
        <v>0</v>
      </c>
      <c r="J46" s="24">
        <f t="shared" si="2"/>
        <v>0</v>
      </c>
      <c r="K46" s="25" t="s">
        <v>59</v>
      </c>
      <c r="Z46" s="24">
        <f t="shared" si="3"/>
        <v>0</v>
      </c>
      <c r="AB46" s="24">
        <f t="shared" si="4"/>
        <v>0</v>
      </c>
      <c r="AC46" s="24">
        <f t="shared" si="5"/>
        <v>0</v>
      </c>
      <c r="AD46" s="24">
        <f t="shared" si="6"/>
        <v>0</v>
      </c>
      <c r="AE46" s="24">
        <f t="shared" si="7"/>
        <v>0</v>
      </c>
      <c r="AF46" s="24">
        <f t="shared" si="8"/>
        <v>0</v>
      </c>
      <c r="AG46" s="24">
        <f t="shared" si="9"/>
        <v>0</v>
      </c>
      <c r="AH46" s="24">
        <f t="shared" si="10"/>
        <v>0</v>
      </c>
      <c r="AI46" s="10" t="s">
        <v>52</v>
      </c>
      <c r="AJ46" s="24">
        <f t="shared" si="11"/>
        <v>0</v>
      </c>
      <c r="AK46" s="24">
        <f t="shared" si="12"/>
        <v>0</v>
      </c>
      <c r="AL46" s="24">
        <f t="shared" si="13"/>
        <v>0</v>
      </c>
      <c r="AN46" s="24">
        <v>21</v>
      </c>
      <c r="AO46" s="24">
        <f>G46*0</f>
        <v>0</v>
      </c>
      <c r="AP46" s="24">
        <f>G46*(1-0)</f>
        <v>0</v>
      </c>
      <c r="AQ46" s="26" t="s">
        <v>55</v>
      </c>
      <c r="AV46" s="24">
        <f t="shared" si="14"/>
        <v>0</v>
      </c>
      <c r="AW46" s="24">
        <f t="shared" si="15"/>
        <v>0</v>
      </c>
      <c r="AX46" s="24">
        <f t="shared" si="16"/>
        <v>0</v>
      </c>
      <c r="AY46" s="26" t="s">
        <v>140</v>
      </c>
      <c r="AZ46" s="26" t="s">
        <v>141</v>
      </c>
      <c r="BA46" s="10" t="s">
        <v>62</v>
      </c>
      <c r="BC46" s="24">
        <f t="shared" si="17"/>
        <v>0</v>
      </c>
      <c r="BD46" s="24">
        <f t="shared" si="18"/>
        <v>0</v>
      </c>
      <c r="BE46" s="24">
        <v>0</v>
      </c>
      <c r="BF46" s="24">
        <f>46</f>
        <v>46</v>
      </c>
      <c r="BH46" s="24">
        <f t="shared" si="19"/>
        <v>0</v>
      </c>
      <c r="BI46" s="24">
        <f t="shared" si="20"/>
        <v>0</v>
      </c>
      <c r="BJ46" s="24">
        <f t="shared" si="21"/>
        <v>0</v>
      </c>
      <c r="BK46" s="24"/>
      <c r="BL46" s="24">
        <v>91</v>
      </c>
      <c r="BW46" s="24">
        <v>21</v>
      </c>
      <c r="BX46" s="4" t="s">
        <v>159</v>
      </c>
    </row>
    <row r="47" spans="1:76" x14ac:dyDescent="0.25">
      <c r="A47" s="2" t="s">
        <v>160</v>
      </c>
      <c r="B47" s="3" t="s">
        <v>161</v>
      </c>
      <c r="C47" s="68" t="s">
        <v>162</v>
      </c>
      <c r="D47" s="63"/>
      <c r="E47" s="3" t="s">
        <v>66</v>
      </c>
      <c r="F47" s="24">
        <v>85</v>
      </c>
      <c r="G47" s="24">
        <v>0</v>
      </c>
      <c r="H47" s="24">
        <f t="shared" si="0"/>
        <v>0</v>
      </c>
      <c r="I47" s="24">
        <f t="shared" si="1"/>
        <v>0</v>
      </c>
      <c r="J47" s="24">
        <f t="shared" si="2"/>
        <v>0</v>
      </c>
      <c r="K47" s="25" t="s">
        <v>59</v>
      </c>
      <c r="Z47" s="24">
        <f t="shared" si="3"/>
        <v>0</v>
      </c>
      <c r="AB47" s="24">
        <f t="shared" si="4"/>
        <v>0</v>
      </c>
      <c r="AC47" s="24">
        <f t="shared" si="5"/>
        <v>0</v>
      </c>
      <c r="AD47" s="24">
        <f t="shared" si="6"/>
        <v>0</v>
      </c>
      <c r="AE47" s="24">
        <f t="shared" si="7"/>
        <v>0</v>
      </c>
      <c r="AF47" s="24">
        <f t="shared" si="8"/>
        <v>0</v>
      </c>
      <c r="AG47" s="24">
        <f t="shared" si="9"/>
        <v>0</v>
      </c>
      <c r="AH47" s="24">
        <f t="shared" si="10"/>
        <v>0</v>
      </c>
      <c r="AI47" s="10" t="s">
        <v>52</v>
      </c>
      <c r="AJ47" s="24">
        <f t="shared" si="11"/>
        <v>0</v>
      </c>
      <c r="AK47" s="24">
        <f t="shared" si="12"/>
        <v>0</v>
      </c>
      <c r="AL47" s="24">
        <f t="shared" si="13"/>
        <v>0</v>
      </c>
      <c r="AN47" s="24">
        <v>21</v>
      </c>
      <c r="AO47" s="24">
        <f>G47*0.09851552</f>
        <v>0</v>
      </c>
      <c r="AP47" s="24">
        <f>G47*(1-0.09851552)</f>
        <v>0</v>
      </c>
      <c r="AQ47" s="26" t="s">
        <v>55</v>
      </c>
      <c r="AV47" s="24">
        <f t="shared" si="14"/>
        <v>0</v>
      </c>
      <c r="AW47" s="24">
        <f t="shared" si="15"/>
        <v>0</v>
      </c>
      <c r="AX47" s="24">
        <f t="shared" si="16"/>
        <v>0</v>
      </c>
      <c r="AY47" s="26" t="s">
        <v>140</v>
      </c>
      <c r="AZ47" s="26" t="s">
        <v>141</v>
      </c>
      <c r="BA47" s="10" t="s">
        <v>62</v>
      </c>
      <c r="BC47" s="24">
        <f t="shared" si="17"/>
        <v>0</v>
      </c>
      <c r="BD47" s="24">
        <f t="shared" si="18"/>
        <v>0</v>
      </c>
      <c r="BE47" s="24">
        <v>0</v>
      </c>
      <c r="BF47" s="24">
        <f>47</f>
        <v>47</v>
      </c>
      <c r="BH47" s="24">
        <f t="shared" si="19"/>
        <v>0</v>
      </c>
      <c r="BI47" s="24">
        <f t="shared" si="20"/>
        <v>0</v>
      </c>
      <c r="BJ47" s="24">
        <f t="shared" si="21"/>
        <v>0</v>
      </c>
      <c r="BK47" s="24"/>
      <c r="BL47" s="24">
        <v>91</v>
      </c>
      <c r="BW47" s="24">
        <v>21</v>
      </c>
      <c r="BX47" s="4" t="s">
        <v>162</v>
      </c>
    </row>
    <row r="48" spans="1:76" x14ac:dyDescent="0.25">
      <c r="A48" s="27" t="s">
        <v>52</v>
      </c>
      <c r="B48" s="28" t="s">
        <v>163</v>
      </c>
      <c r="C48" s="84" t="s">
        <v>164</v>
      </c>
      <c r="D48" s="85"/>
      <c r="E48" s="29" t="s">
        <v>19</v>
      </c>
      <c r="F48" s="29" t="s">
        <v>19</v>
      </c>
      <c r="G48" s="29" t="s">
        <v>19</v>
      </c>
      <c r="H48" s="1">
        <f>SUM(H49:H49)</f>
        <v>0</v>
      </c>
      <c r="I48" s="1">
        <f>SUM(I49:I49)</f>
        <v>0</v>
      </c>
      <c r="J48" s="1">
        <f>SUM(J49:J49)</f>
        <v>0</v>
      </c>
      <c r="K48" s="30" t="s">
        <v>52</v>
      </c>
      <c r="AI48" s="10" t="s">
        <v>52</v>
      </c>
      <c r="AS48" s="1">
        <f>SUM(AJ49:AJ49)</f>
        <v>0</v>
      </c>
      <c r="AT48" s="1">
        <f>SUM(AK49:AK49)</f>
        <v>0</v>
      </c>
      <c r="AU48" s="1">
        <f>SUM(AL49:AL49)</f>
        <v>0</v>
      </c>
    </row>
    <row r="49" spans="1:76" x14ac:dyDescent="0.25">
      <c r="A49" s="2" t="s">
        <v>165</v>
      </c>
      <c r="B49" s="3" t="s">
        <v>166</v>
      </c>
      <c r="C49" s="68" t="s">
        <v>167</v>
      </c>
      <c r="D49" s="63"/>
      <c r="E49" s="3" t="s">
        <v>168</v>
      </c>
      <c r="F49" s="24">
        <v>155</v>
      </c>
      <c r="G49" s="24">
        <v>0</v>
      </c>
      <c r="H49" s="24">
        <f>F49*AO49</f>
        <v>0</v>
      </c>
      <c r="I49" s="24">
        <f>F49*AP49</f>
        <v>0</v>
      </c>
      <c r="J49" s="24">
        <f>F49*G49</f>
        <v>0</v>
      </c>
      <c r="K49" s="25" t="s">
        <v>59</v>
      </c>
      <c r="Z49" s="24">
        <f>IF(AQ49="5",BJ49,0)</f>
        <v>0</v>
      </c>
      <c r="AB49" s="24">
        <f>IF(AQ49="1",BH49,0)</f>
        <v>0</v>
      </c>
      <c r="AC49" s="24">
        <f>IF(AQ49="1",BI49,0)</f>
        <v>0</v>
      </c>
      <c r="AD49" s="24">
        <f>IF(AQ49="7",BH49,0)</f>
        <v>0</v>
      </c>
      <c r="AE49" s="24">
        <f>IF(AQ49="7",BI49,0)</f>
        <v>0</v>
      </c>
      <c r="AF49" s="24">
        <f>IF(AQ49="2",BH49,0)</f>
        <v>0</v>
      </c>
      <c r="AG49" s="24">
        <f>IF(AQ49="2",BI49,0)</f>
        <v>0</v>
      </c>
      <c r="AH49" s="24">
        <f>IF(AQ49="0",BJ49,0)</f>
        <v>0</v>
      </c>
      <c r="AI49" s="10" t="s">
        <v>52</v>
      </c>
      <c r="AJ49" s="24">
        <f>IF(AN49=0,J49,0)</f>
        <v>0</v>
      </c>
      <c r="AK49" s="24">
        <f>IF(AN49=12,J49,0)</f>
        <v>0</v>
      </c>
      <c r="AL49" s="24">
        <f>IF(AN49=21,J49,0)</f>
        <v>0</v>
      </c>
      <c r="AN49" s="24">
        <v>21</v>
      </c>
      <c r="AO49" s="24">
        <f>G49*0.592056738</f>
        <v>0</v>
      </c>
      <c r="AP49" s="24">
        <f>G49*(1-0.592056738)</f>
        <v>0</v>
      </c>
      <c r="AQ49" s="26" t="s">
        <v>55</v>
      </c>
      <c r="AV49" s="24">
        <f>AW49+AX49</f>
        <v>0</v>
      </c>
      <c r="AW49" s="24">
        <f>F49*AO49</f>
        <v>0</v>
      </c>
      <c r="AX49" s="24">
        <f>F49*AP49</f>
        <v>0</v>
      </c>
      <c r="AY49" s="26" t="s">
        <v>169</v>
      </c>
      <c r="AZ49" s="26" t="s">
        <v>141</v>
      </c>
      <c r="BA49" s="10" t="s">
        <v>62</v>
      </c>
      <c r="BC49" s="24">
        <f>AW49+AX49</f>
        <v>0</v>
      </c>
      <c r="BD49" s="24">
        <f>G49/(100-BE49)*100</f>
        <v>0</v>
      </c>
      <c r="BE49" s="24">
        <v>0</v>
      </c>
      <c r="BF49" s="24">
        <f>49</f>
        <v>49</v>
      </c>
      <c r="BH49" s="24">
        <f>F49*AO49</f>
        <v>0</v>
      </c>
      <c r="BI49" s="24">
        <f>F49*AP49</f>
        <v>0</v>
      </c>
      <c r="BJ49" s="24">
        <f>F49*G49</f>
        <v>0</v>
      </c>
      <c r="BK49" s="24"/>
      <c r="BL49" s="24">
        <v>93</v>
      </c>
      <c r="BW49" s="24">
        <v>21</v>
      </c>
      <c r="BX49" s="4" t="s">
        <v>167</v>
      </c>
    </row>
    <row r="50" spans="1:76" x14ac:dyDescent="0.25">
      <c r="A50" s="27" t="s">
        <v>52</v>
      </c>
      <c r="B50" s="28" t="s">
        <v>170</v>
      </c>
      <c r="C50" s="84" t="s">
        <v>171</v>
      </c>
      <c r="D50" s="85"/>
      <c r="E50" s="29" t="s">
        <v>19</v>
      </c>
      <c r="F50" s="29" t="s">
        <v>19</v>
      </c>
      <c r="G50" s="29" t="s">
        <v>19</v>
      </c>
      <c r="H50" s="1">
        <f>SUM(H51:H51)</f>
        <v>0</v>
      </c>
      <c r="I50" s="1">
        <f>SUM(I51:I51)</f>
        <v>0</v>
      </c>
      <c r="J50" s="1">
        <f>SUM(J51:J51)</f>
        <v>0</v>
      </c>
      <c r="K50" s="30" t="s">
        <v>52</v>
      </c>
      <c r="AI50" s="10" t="s">
        <v>52</v>
      </c>
      <c r="AS50" s="1">
        <f>SUM(AJ51:AJ51)</f>
        <v>0</v>
      </c>
      <c r="AT50" s="1">
        <f>SUM(AK51:AK51)</f>
        <v>0</v>
      </c>
      <c r="AU50" s="1">
        <f>SUM(AL51:AL51)</f>
        <v>0</v>
      </c>
    </row>
    <row r="51" spans="1:76" x14ac:dyDescent="0.25">
      <c r="A51" s="2" t="s">
        <v>172</v>
      </c>
      <c r="B51" s="3" t="s">
        <v>173</v>
      </c>
      <c r="C51" s="68" t="s">
        <v>174</v>
      </c>
      <c r="D51" s="63"/>
      <c r="E51" s="3" t="s">
        <v>175</v>
      </c>
      <c r="F51" s="24">
        <v>10</v>
      </c>
      <c r="G51" s="24">
        <v>0</v>
      </c>
      <c r="H51" s="24">
        <f>F51*AO51</f>
        <v>0</v>
      </c>
      <c r="I51" s="24">
        <f>F51*AP51</f>
        <v>0</v>
      </c>
      <c r="J51" s="24">
        <f>F51*G51</f>
        <v>0</v>
      </c>
      <c r="K51" s="25" t="s">
        <v>59</v>
      </c>
      <c r="Z51" s="24">
        <f>IF(AQ51="5",BJ51,0)</f>
        <v>0</v>
      </c>
      <c r="AB51" s="24">
        <f>IF(AQ51="1",BH51,0)</f>
        <v>0</v>
      </c>
      <c r="AC51" s="24">
        <f>IF(AQ51="1",BI51,0)</f>
        <v>0</v>
      </c>
      <c r="AD51" s="24">
        <f>IF(AQ51="7",BH51,0)</f>
        <v>0</v>
      </c>
      <c r="AE51" s="24">
        <f>IF(AQ51="7",BI51,0)</f>
        <v>0</v>
      </c>
      <c r="AF51" s="24">
        <f>IF(AQ51="2",BH51,0)</f>
        <v>0</v>
      </c>
      <c r="AG51" s="24">
        <f>IF(AQ51="2",BI51,0)</f>
        <v>0</v>
      </c>
      <c r="AH51" s="24">
        <f>IF(AQ51="0",BJ51,0)</f>
        <v>0</v>
      </c>
      <c r="AI51" s="10" t="s">
        <v>52</v>
      </c>
      <c r="AJ51" s="24">
        <f>IF(AN51=0,J51,0)</f>
        <v>0</v>
      </c>
      <c r="AK51" s="24">
        <f>IF(AN51=12,J51,0)</f>
        <v>0</v>
      </c>
      <c r="AL51" s="24">
        <f>IF(AN51=21,J51,0)</f>
        <v>0</v>
      </c>
      <c r="AN51" s="24">
        <v>21</v>
      </c>
      <c r="AO51" s="24">
        <f>G51*0</f>
        <v>0</v>
      </c>
      <c r="AP51" s="24">
        <f>G51*(1-0)</f>
        <v>0</v>
      </c>
      <c r="AQ51" s="26" t="s">
        <v>55</v>
      </c>
      <c r="AV51" s="24">
        <f>AW51+AX51</f>
        <v>0</v>
      </c>
      <c r="AW51" s="24">
        <f>F51*AO51</f>
        <v>0</v>
      </c>
      <c r="AX51" s="24">
        <f>F51*AP51</f>
        <v>0</v>
      </c>
      <c r="AY51" s="26" t="s">
        <v>176</v>
      </c>
      <c r="AZ51" s="26" t="s">
        <v>141</v>
      </c>
      <c r="BA51" s="10" t="s">
        <v>62</v>
      </c>
      <c r="BC51" s="24">
        <f>AW51+AX51</f>
        <v>0</v>
      </c>
      <c r="BD51" s="24">
        <f>G51/(100-BE51)*100</f>
        <v>0</v>
      </c>
      <c r="BE51" s="24">
        <v>0</v>
      </c>
      <c r="BF51" s="24">
        <f>51</f>
        <v>51</v>
      </c>
      <c r="BH51" s="24">
        <f>F51*AO51</f>
        <v>0</v>
      </c>
      <c r="BI51" s="24">
        <f>F51*AP51</f>
        <v>0</v>
      </c>
      <c r="BJ51" s="24">
        <f>F51*G51</f>
        <v>0</v>
      </c>
      <c r="BK51" s="24"/>
      <c r="BL51" s="24">
        <v>97</v>
      </c>
      <c r="BW51" s="24">
        <v>21</v>
      </c>
      <c r="BX51" s="4" t="s">
        <v>174</v>
      </c>
    </row>
    <row r="52" spans="1:76" x14ac:dyDescent="0.25">
      <c r="A52" s="27" t="s">
        <v>52</v>
      </c>
      <c r="B52" s="28" t="s">
        <v>177</v>
      </c>
      <c r="C52" s="84" t="s">
        <v>178</v>
      </c>
      <c r="D52" s="85"/>
      <c r="E52" s="29" t="s">
        <v>19</v>
      </c>
      <c r="F52" s="29" t="s">
        <v>19</v>
      </c>
      <c r="G52" s="29" t="s">
        <v>19</v>
      </c>
      <c r="H52" s="1">
        <f>SUM(H53:H53)</f>
        <v>0</v>
      </c>
      <c r="I52" s="1">
        <f>SUM(I53:I53)</f>
        <v>0</v>
      </c>
      <c r="J52" s="1">
        <f>SUM(J53:J53)</f>
        <v>0</v>
      </c>
      <c r="K52" s="30" t="s">
        <v>52</v>
      </c>
      <c r="AI52" s="10" t="s">
        <v>52</v>
      </c>
      <c r="AS52" s="1">
        <f>SUM(AJ53:AJ53)</f>
        <v>0</v>
      </c>
      <c r="AT52" s="1">
        <f>SUM(AK53:AK53)</f>
        <v>0</v>
      </c>
      <c r="AU52" s="1">
        <f>SUM(AL53:AL53)</f>
        <v>0</v>
      </c>
    </row>
    <row r="53" spans="1:76" x14ac:dyDescent="0.25">
      <c r="A53" s="2" t="s">
        <v>179</v>
      </c>
      <c r="B53" s="3" t="s">
        <v>180</v>
      </c>
      <c r="C53" s="68" t="s">
        <v>181</v>
      </c>
      <c r="D53" s="63"/>
      <c r="E53" s="3" t="s">
        <v>175</v>
      </c>
      <c r="F53" s="24">
        <v>827.83410000000003</v>
      </c>
      <c r="G53" s="24">
        <v>0</v>
      </c>
      <c r="H53" s="24">
        <f>F53*AO53</f>
        <v>0</v>
      </c>
      <c r="I53" s="24">
        <f>F53*AP53</f>
        <v>0</v>
      </c>
      <c r="J53" s="24">
        <f>F53*G53</f>
        <v>0</v>
      </c>
      <c r="K53" s="25" t="s">
        <v>59</v>
      </c>
      <c r="Z53" s="24">
        <f>IF(AQ53="5",BJ53,0)</f>
        <v>0</v>
      </c>
      <c r="AB53" s="24">
        <f>IF(AQ53="1",BH53,0)</f>
        <v>0</v>
      </c>
      <c r="AC53" s="24">
        <f>IF(AQ53="1",BI53,0)</f>
        <v>0</v>
      </c>
      <c r="AD53" s="24">
        <f>IF(AQ53="7",BH53,0)</f>
        <v>0</v>
      </c>
      <c r="AE53" s="24">
        <f>IF(AQ53="7",BI53,0)</f>
        <v>0</v>
      </c>
      <c r="AF53" s="24">
        <f>IF(AQ53="2",BH53,0)</f>
        <v>0</v>
      </c>
      <c r="AG53" s="24">
        <f>IF(AQ53="2",BI53,0)</f>
        <v>0</v>
      </c>
      <c r="AH53" s="24">
        <f>IF(AQ53="0",BJ53,0)</f>
        <v>0</v>
      </c>
      <c r="AI53" s="10" t="s">
        <v>52</v>
      </c>
      <c r="AJ53" s="24">
        <f>IF(AN53=0,J53,0)</f>
        <v>0</v>
      </c>
      <c r="AK53" s="24">
        <f>IF(AN53=12,J53,0)</f>
        <v>0</v>
      </c>
      <c r="AL53" s="24">
        <f>IF(AN53=21,J53,0)</f>
        <v>0</v>
      </c>
      <c r="AN53" s="24">
        <v>21</v>
      </c>
      <c r="AO53" s="24">
        <f>G53*0</f>
        <v>0</v>
      </c>
      <c r="AP53" s="24">
        <f>G53*(1-0)</f>
        <v>0</v>
      </c>
      <c r="AQ53" s="26" t="s">
        <v>76</v>
      </c>
      <c r="AV53" s="24">
        <f>AW53+AX53</f>
        <v>0</v>
      </c>
      <c r="AW53" s="24">
        <f>F53*AO53</f>
        <v>0</v>
      </c>
      <c r="AX53" s="24">
        <f>F53*AP53</f>
        <v>0</v>
      </c>
      <c r="AY53" s="26" t="s">
        <v>182</v>
      </c>
      <c r="AZ53" s="26" t="s">
        <v>141</v>
      </c>
      <c r="BA53" s="10" t="s">
        <v>62</v>
      </c>
      <c r="BC53" s="24">
        <f>AW53+AX53</f>
        <v>0</v>
      </c>
      <c r="BD53" s="24">
        <f>G53/(100-BE53)*100</f>
        <v>0</v>
      </c>
      <c r="BE53" s="24">
        <v>0</v>
      </c>
      <c r="BF53" s="24">
        <f>53</f>
        <v>53</v>
      </c>
      <c r="BH53" s="24">
        <f>F53*AO53</f>
        <v>0</v>
      </c>
      <c r="BI53" s="24">
        <f>F53*AP53</f>
        <v>0</v>
      </c>
      <c r="BJ53" s="24">
        <f>F53*G53</f>
        <v>0</v>
      </c>
      <c r="BK53" s="24"/>
      <c r="BL53" s="24"/>
      <c r="BW53" s="24">
        <v>21</v>
      </c>
      <c r="BX53" s="4" t="s">
        <v>181</v>
      </c>
    </row>
    <row r="54" spans="1:76" x14ac:dyDescent="0.25">
      <c r="A54" s="27" t="s">
        <v>52</v>
      </c>
      <c r="B54" s="28" t="s">
        <v>183</v>
      </c>
      <c r="C54" s="84" t="s">
        <v>184</v>
      </c>
      <c r="D54" s="85"/>
      <c r="E54" s="29" t="s">
        <v>19</v>
      </c>
      <c r="F54" s="29" t="s">
        <v>19</v>
      </c>
      <c r="G54" s="29" t="s">
        <v>19</v>
      </c>
      <c r="H54" s="1">
        <f>SUM(H55:H55)</f>
        <v>0</v>
      </c>
      <c r="I54" s="1">
        <f>SUM(I55:I55)</f>
        <v>0</v>
      </c>
      <c r="J54" s="1">
        <f>SUM(J55:J55)</f>
        <v>0</v>
      </c>
      <c r="K54" s="30" t="s">
        <v>52</v>
      </c>
      <c r="AI54" s="10" t="s">
        <v>52</v>
      </c>
      <c r="AS54" s="1">
        <f>SUM(AJ55:AJ55)</f>
        <v>0</v>
      </c>
      <c r="AT54" s="1">
        <f>SUM(AK55:AK55)</f>
        <v>0</v>
      </c>
      <c r="AU54" s="1">
        <f>SUM(AL55:AL55)</f>
        <v>0</v>
      </c>
    </row>
    <row r="55" spans="1:76" x14ac:dyDescent="0.25">
      <c r="A55" s="2" t="s">
        <v>185</v>
      </c>
      <c r="B55" s="3" t="s">
        <v>186</v>
      </c>
      <c r="C55" s="68" t="s">
        <v>187</v>
      </c>
      <c r="D55" s="63"/>
      <c r="E55" s="3" t="s">
        <v>66</v>
      </c>
      <c r="F55" s="24">
        <v>85</v>
      </c>
      <c r="G55" s="24">
        <v>0</v>
      </c>
      <c r="H55" s="24">
        <f>F55*AO55</f>
        <v>0</v>
      </c>
      <c r="I55" s="24">
        <f>F55*AP55</f>
        <v>0</v>
      </c>
      <c r="J55" s="24">
        <f>F55*G55</f>
        <v>0</v>
      </c>
      <c r="K55" s="25" t="s">
        <v>59</v>
      </c>
      <c r="Z55" s="24">
        <f>IF(AQ55="5",BJ55,0)</f>
        <v>0</v>
      </c>
      <c r="AB55" s="24">
        <f>IF(AQ55="1",BH55,0)</f>
        <v>0</v>
      </c>
      <c r="AC55" s="24">
        <f>IF(AQ55="1",BI55,0)</f>
        <v>0</v>
      </c>
      <c r="AD55" s="24">
        <f>IF(AQ55="7",BH55,0)</f>
        <v>0</v>
      </c>
      <c r="AE55" s="24">
        <f>IF(AQ55="7",BI55,0)</f>
        <v>0</v>
      </c>
      <c r="AF55" s="24">
        <f>IF(AQ55="2",BH55,0)</f>
        <v>0</v>
      </c>
      <c r="AG55" s="24">
        <f>IF(AQ55="2",BI55,0)</f>
        <v>0</v>
      </c>
      <c r="AH55" s="24">
        <f>IF(AQ55="0",BJ55,0)</f>
        <v>0</v>
      </c>
      <c r="AI55" s="10" t="s">
        <v>52</v>
      </c>
      <c r="AJ55" s="24">
        <f>IF(AN55=0,J55,0)</f>
        <v>0</v>
      </c>
      <c r="AK55" s="24">
        <f>IF(AN55=12,J55,0)</f>
        <v>0</v>
      </c>
      <c r="AL55" s="24">
        <f>IF(AN55=21,J55,0)</f>
        <v>0</v>
      </c>
      <c r="AN55" s="24">
        <v>21</v>
      </c>
      <c r="AO55" s="24">
        <f>G55*0</f>
        <v>0</v>
      </c>
      <c r="AP55" s="24">
        <f>G55*(1-0)</f>
        <v>0</v>
      </c>
      <c r="AQ55" s="26" t="s">
        <v>63</v>
      </c>
      <c r="AV55" s="24">
        <f>AW55+AX55</f>
        <v>0</v>
      </c>
      <c r="AW55" s="24">
        <f>F55*AO55</f>
        <v>0</v>
      </c>
      <c r="AX55" s="24">
        <f>F55*AP55</f>
        <v>0</v>
      </c>
      <c r="AY55" s="26" t="s">
        <v>188</v>
      </c>
      <c r="AZ55" s="26" t="s">
        <v>141</v>
      </c>
      <c r="BA55" s="10" t="s">
        <v>62</v>
      </c>
      <c r="BC55" s="24">
        <f>AW55+AX55</f>
        <v>0</v>
      </c>
      <c r="BD55" s="24">
        <f>G55/(100-BE55)*100</f>
        <v>0</v>
      </c>
      <c r="BE55" s="24">
        <v>0</v>
      </c>
      <c r="BF55" s="24">
        <f>55</f>
        <v>55</v>
      </c>
      <c r="BH55" s="24">
        <f>F55*AO55</f>
        <v>0</v>
      </c>
      <c r="BI55" s="24">
        <f>F55*AP55</f>
        <v>0</v>
      </c>
      <c r="BJ55" s="24">
        <f>F55*G55</f>
        <v>0</v>
      </c>
      <c r="BK55" s="24"/>
      <c r="BL55" s="24"/>
      <c r="BW55" s="24">
        <v>21</v>
      </c>
      <c r="BX55" s="4" t="s">
        <v>187</v>
      </c>
    </row>
    <row r="56" spans="1:76" x14ac:dyDescent="0.25">
      <c r="A56" s="27" t="s">
        <v>52</v>
      </c>
      <c r="B56" s="28" t="s">
        <v>189</v>
      </c>
      <c r="C56" s="84" t="s">
        <v>190</v>
      </c>
      <c r="D56" s="85"/>
      <c r="E56" s="29" t="s">
        <v>19</v>
      </c>
      <c r="F56" s="29" t="s">
        <v>19</v>
      </c>
      <c r="G56" s="29" t="s">
        <v>19</v>
      </c>
      <c r="H56" s="1">
        <f>SUM(H57:H61)</f>
        <v>0</v>
      </c>
      <c r="I56" s="1">
        <f>SUM(I57:I61)</f>
        <v>0</v>
      </c>
      <c r="J56" s="1">
        <f>SUM(J57:J61)</f>
        <v>0</v>
      </c>
      <c r="K56" s="30" t="s">
        <v>52</v>
      </c>
      <c r="AI56" s="10" t="s">
        <v>52</v>
      </c>
      <c r="AS56" s="1">
        <f>SUM(AJ57:AJ61)</f>
        <v>0</v>
      </c>
      <c r="AT56" s="1">
        <f>SUM(AK57:AK61)</f>
        <v>0</v>
      </c>
      <c r="AU56" s="1">
        <f>SUM(AL57:AL61)</f>
        <v>0</v>
      </c>
    </row>
    <row r="57" spans="1:76" x14ac:dyDescent="0.25">
      <c r="A57" s="2" t="s">
        <v>191</v>
      </c>
      <c r="B57" s="3" t="s">
        <v>192</v>
      </c>
      <c r="C57" s="68" t="s">
        <v>193</v>
      </c>
      <c r="D57" s="63"/>
      <c r="E57" s="3" t="s">
        <v>103</v>
      </c>
      <c r="F57" s="24">
        <v>4</v>
      </c>
      <c r="G57" s="24">
        <v>0</v>
      </c>
      <c r="H57" s="24">
        <f>F57*AO57</f>
        <v>0</v>
      </c>
      <c r="I57" s="24">
        <f>F57*AP57</f>
        <v>0</v>
      </c>
      <c r="J57" s="24">
        <f>F57*G57</f>
        <v>0</v>
      </c>
      <c r="K57" s="25" t="s">
        <v>59</v>
      </c>
      <c r="Z57" s="24">
        <f>IF(AQ57="5",BJ57,0)</f>
        <v>0</v>
      </c>
      <c r="AB57" s="24">
        <f>IF(AQ57="1",BH57,0)</f>
        <v>0</v>
      </c>
      <c r="AC57" s="24">
        <f>IF(AQ57="1",BI57,0)</f>
        <v>0</v>
      </c>
      <c r="AD57" s="24">
        <f>IF(AQ57="7",BH57,0)</f>
        <v>0</v>
      </c>
      <c r="AE57" s="24">
        <f>IF(AQ57="7",BI57,0)</f>
        <v>0</v>
      </c>
      <c r="AF57" s="24">
        <f>IF(AQ57="2",BH57,0)</f>
        <v>0</v>
      </c>
      <c r="AG57" s="24">
        <f>IF(AQ57="2",BI57,0)</f>
        <v>0</v>
      </c>
      <c r="AH57" s="24">
        <f>IF(AQ57="0",BJ57,0)</f>
        <v>0</v>
      </c>
      <c r="AI57" s="10" t="s">
        <v>52</v>
      </c>
      <c r="AJ57" s="24">
        <f>IF(AN57=0,J57,0)</f>
        <v>0</v>
      </c>
      <c r="AK57" s="24">
        <f>IF(AN57=12,J57,0)</f>
        <v>0</v>
      </c>
      <c r="AL57" s="24">
        <f>IF(AN57=21,J57,0)</f>
        <v>0</v>
      </c>
      <c r="AN57" s="24">
        <v>21</v>
      </c>
      <c r="AO57" s="24">
        <f>G57*0</f>
        <v>0</v>
      </c>
      <c r="AP57" s="24">
        <f>G57*(1-0)</f>
        <v>0</v>
      </c>
      <c r="AQ57" s="26" t="s">
        <v>63</v>
      </c>
      <c r="AV57" s="24">
        <f>AW57+AX57</f>
        <v>0</v>
      </c>
      <c r="AW57" s="24">
        <f>F57*AO57</f>
        <v>0</v>
      </c>
      <c r="AX57" s="24">
        <f>F57*AP57</f>
        <v>0</v>
      </c>
      <c r="AY57" s="26" t="s">
        <v>194</v>
      </c>
      <c r="AZ57" s="26" t="s">
        <v>141</v>
      </c>
      <c r="BA57" s="10" t="s">
        <v>62</v>
      </c>
      <c r="BC57" s="24">
        <f>AW57+AX57</f>
        <v>0</v>
      </c>
      <c r="BD57" s="24">
        <f>G57/(100-BE57)*100</f>
        <v>0</v>
      </c>
      <c r="BE57" s="24">
        <v>0</v>
      </c>
      <c r="BF57" s="24">
        <f>57</f>
        <v>57</v>
      </c>
      <c r="BH57" s="24">
        <f>F57*AO57</f>
        <v>0</v>
      </c>
      <c r="BI57" s="24">
        <f>F57*AP57</f>
        <v>0</v>
      </c>
      <c r="BJ57" s="24">
        <f>F57*G57</f>
        <v>0</v>
      </c>
      <c r="BK57" s="24"/>
      <c r="BL57" s="24"/>
      <c r="BW57" s="24">
        <v>21</v>
      </c>
      <c r="BX57" s="4" t="s">
        <v>193</v>
      </c>
    </row>
    <row r="58" spans="1:76" x14ac:dyDescent="0.25">
      <c r="A58" s="2" t="s">
        <v>195</v>
      </c>
      <c r="B58" s="3" t="s">
        <v>196</v>
      </c>
      <c r="C58" s="68" t="s">
        <v>197</v>
      </c>
      <c r="D58" s="63"/>
      <c r="E58" s="3" t="s">
        <v>103</v>
      </c>
      <c r="F58" s="24">
        <v>4</v>
      </c>
      <c r="G58" s="24">
        <v>0</v>
      </c>
      <c r="H58" s="24">
        <f>F58*AO58</f>
        <v>0</v>
      </c>
      <c r="I58" s="24">
        <f>F58*AP58</f>
        <v>0</v>
      </c>
      <c r="J58" s="24">
        <f>F58*G58</f>
        <v>0</v>
      </c>
      <c r="K58" s="25" t="s">
        <v>59</v>
      </c>
      <c r="Z58" s="24">
        <f>IF(AQ58="5",BJ58,0)</f>
        <v>0</v>
      </c>
      <c r="AB58" s="24">
        <f>IF(AQ58="1",BH58,0)</f>
        <v>0</v>
      </c>
      <c r="AC58" s="24">
        <f>IF(AQ58="1",BI58,0)</f>
        <v>0</v>
      </c>
      <c r="AD58" s="24">
        <f>IF(AQ58="7",BH58,0)</f>
        <v>0</v>
      </c>
      <c r="AE58" s="24">
        <f>IF(AQ58="7",BI58,0)</f>
        <v>0</v>
      </c>
      <c r="AF58" s="24">
        <f>IF(AQ58="2",BH58,0)</f>
        <v>0</v>
      </c>
      <c r="AG58" s="24">
        <f>IF(AQ58="2",BI58,0)</f>
        <v>0</v>
      </c>
      <c r="AH58" s="24">
        <f>IF(AQ58="0",BJ58,0)</f>
        <v>0</v>
      </c>
      <c r="AI58" s="10" t="s">
        <v>52</v>
      </c>
      <c r="AJ58" s="24">
        <f>IF(AN58=0,J58,0)</f>
        <v>0</v>
      </c>
      <c r="AK58" s="24">
        <f>IF(AN58=12,J58,0)</f>
        <v>0</v>
      </c>
      <c r="AL58" s="24">
        <f>IF(AN58=21,J58,0)</f>
        <v>0</v>
      </c>
      <c r="AN58" s="24">
        <v>21</v>
      </c>
      <c r="AO58" s="24">
        <f>G58*0</f>
        <v>0</v>
      </c>
      <c r="AP58" s="24">
        <f>G58*(1-0)</f>
        <v>0</v>
      </c>
      <c r="AQ58" s="26" t="s">
        <v>63</v>
      </c>
      <c r="AV58" s="24">
        <f>AW58+AX58</f>
        <v>0</v>
      </c>
      <c r="AW58" s="24">
        <f>F58*AO58</f>
        <v>0</v>
      </c>
      <c r="AX58" s="24">
        <f>F58*AP58</f>
        <v>0</v>
      </c>
      <c r="AY58" s="26" t="s">
        <v>194</v>
      </c>
      <c r="AZ58" s="26" t="s">
        <v>141</v>
      </c>
      <c r="BA58" s="10" t="s">
        <v>62</v>
      </c>
      <c r="BC58" s="24">
        <f>AW58+AX58</f>
        <v>0</v>
      </c>
      <c r="BD58" s="24">
        <f>G58/(100-BE58)*100</f>
        <v>0</v>
      </c>
      <c r="BE58" s="24">
        <v>0</v>
      </c>
      <c r="BF58" s="24">
        <f>58</f>
        <v>58</v>
      </c>
      <c r="BH58" s="24">
        <f>F58*AO58</f>
        <v>0</v>
      </c>
      <c r="BI58" s="24">
        <f>F58*AP58</f>
        <v>0</v>
      </c>
      <c r="BJ58" s="24">
        <f>F58*G58</f>
        <v>0</v>
      </c>
      <c r="BK58" s="24"/>
      <c r="BL58" s="24"/>
      <c r="BW58" s="24">
        <v>21</v>
      </c>
      <c r="BX58" s="4" t="s">
        <v>197</v>
      </c>
    </row>
    <row r="59" spans="1:76" x14ac:dyDescent="0.25">
      <c r="A59" s="2" t="s">
        <v>198</v>
      </c>
      <c r="B59" s="3" t="s">
        <v>199</v>
      </c>
      <c r="C59" s="68" t="s">
        <v>200</v>
      </c>
      <c r="D59" s="63"/>
      <c r="E59" s="3" t="s">
        <v>66</v>
      </c>
      <c r="F59" s="24">
        <v>85</v>
      </c>
      <c r="G59" s="24">
        <v>0</v>
      </c>
      <c r="H59" s="24">
        <f>F59*AO59</f>
        <v>0</v>
      </c>
      <c r="I59" s="24">
        <f>F59*AP59</f>
        <v>0</v>
      </c>
      <c r="J59" s="24">
        <f>F59*G59</f>
        <v>0</v>
      </c>
      <c r="K59" s="25" t="s">
        <v>59</v>
      </c>
      <c r="Z59" s="24">
        <f>IF(AQ59="5",BJ59,0)</f>
        <v>0</v>
      </c>
      <c r="AB59" s="24">
        <f>IF(AQ59="1",BH59,0)</f>
        <v>0</v>
      </c>
      <c r="AC59" s="24">
        <f>IF(AQ59="1",BI59,0)</f>
        <v>0</v>
      </c>
      <c r="AD59" s="24">
        <f>IF(AQ59="7",BH59,0)</f>
        <v>0</v>
      </c>
      <c r="AE59" s="24">
        <f>IF(AQ59="7",BI59,0)</f>
        <v>0</v>
      </c>
      <c r="AF59" s="24">
        <f>IF(AQ59="2",BH59,0)</f>
        <v>0</v>
      </c>
      <c r="AG59" s="24">
        <f>IF(AQ59="2",BI59,0)</f>
        <v>0</v>
      </c>
      <c r="AH59" s="24">
        <f>IF(AQ59="0",BJ59,0)</f>
        <v>0</v>
      </c>
      <c r="AI59" s="10" t="s">
        <v>52</v>
      </c>
      <c r="AJ59" s="24">
        <f>IF(AN59=0,J59,0)</f>
        <v>0</v>
      </c>
      <c r="AK59" s="24">
        <f>IF(AN59=12,J59,0)</f>
        <v>0</v>
      </c>
      <c r="AL59" s="24">
        <f>IF(AN59=21,J59,0)</f>
        <v>0</v>
      </c>
      <c r="AN59" s="24">
        <v>21</v>
      </c>
      <c r="AO59" s="24">
        <f>G59*0.946229508</f>
        <v>0</v>
      </c>
      <c r="AP59" s="24">
        <f>G59*(1-0.946229508)</f>
        <v>0</v>
      </c>
      <c r="AQ59" s="26" t="s">
        <v>63</v>
      </c>
      <c r="AV59" s="24">
        <f>AW59+AX59</f>
        <v>0</v>
      </c>
      <c r="AW59" s="24">
        <f>F59*AO59</f>
        <v>0</v>
      </c>
      <c r="AX59" s="24">
        <f>F59*AP59</f>
        <v>0</v>
      </c>
      <c r="AY59" s="26" t="s">
        <v>194</v>
      </c>
      <c r="AZ59" s="26" t="s">
        <v>141</v>
      </c>
      <c r="BA59" s="10" t="s">
        <v>62</v>
      </c>
      <c r="BC59" s="24">
        <f>AW59+AX59</f>
        <v>0</v>
      </c>
      <c r="BD59" s="24">
        <f>G59/(100-BE59)*100</f>
        <v>0</v>
      </c>
      <c r="BE59" s="24">
        <v>0</v>
      </c>
      <c r="BF59" s="24">
        <f>59</f>
        <v>59</v>
      </c>
      <c r="BH59" s="24">
        <f>F59*AO59</f>
        <v>0</v>
      </c>
      <c r="BI59" s="24">
        <f>F59*AP59</f>
        <v>0</v>
      </c>
      <c r="BJ59" s="24">
        <f>F59*G59</f>
        <v>0</v>
      </c>
      <c r="BK59" s="24"/>
      <c r="BL59" s="24"/>
      <c r="BW59" s="24">
        <v>21</v>
      </c>
      <c r="BX59" s="4" t="s">
        <v>200</v>
      </c>
    </row>
    <row r="60" spans="1:76" x14ac:dyDescent="0.25">
      <c r="A60" s="2" t="s">
        <v>201</v>
      </c>
      <c r="B60" s="3" t="s">
        <v>202</v>
      </c>
      <c r="C60" s="68" t="s">
        <v>203</v>
      </c>
      <c r="D60" s="63"/>
      <c r="E60" s="3" t="s">
        <v>58</v>
      </c>
      <c r="F60" s="24">
        <v>280</v>
      </c>
      <c r="G60" s="24">
        <v>0</v>
      </c>
      <c r="H60" s="24">
        <f>F60*AO60</f>
        <v>0</v>
      </c>
      <c r="I60" s="24">
        <f>F60*AP60</f>
        <v>0</v>
      </c>
      <c r="J60" s="24">
        <f>F60*G60</f>
        <v>0</v>
      </c>
      <c r="K60" s="25" t="s">
        <v>59</v>
      </c>
      <c r="Z60" s="24">
        <f>IF(AQ60="5",BJ60,0)</f>
        <v>0</v>
      </c>
      <c r="AB60" s="24">
        <f>IF(AQ60="1",BH60,0)</f>
        <v>0</v>
      </c>
      <c r="AC60" s="24">
        <f>IF(AQ60="1",BI60,0)</f>
        <v>0</v>
      </c>
      <c r="AD60" s="24">
        <f>IF(AQ60="7",BH60,0)</f>
        <v>0</v>
      </c>
      <c r="AE60" s="24">
        <f>IF(AQ60="7",BI60,0)</f>
        <v>0</v>
      </c>
      <c r="AF60" s="24">
        <f>IF(AQ60="2",BH60,0)</f>
        <v>0</v>
      </c>
      <c r="AG60" s="24">
        <f>IF(AQ60="2",BI60,0)</f>
        <v>0</v>
      </c>
      <c r="AH60" s="24">
        <f>IF(AQ60="0",BJ60,0)</f>
        <v>0</v>
      </c>
      <c r="AI60" s="10" t="s">
        <v>52</v>
      </c>
      <c r="AJ60" s="24">
        <f>IF(AN60=0,J60,0)</f>
        <v>0</v>
      </c>
      <c r="AK60" s="24">
        <f>IF(AN60=12,J60,0)</f>
        <v>0</v>
      </c>
      <c r="AL60" s="24">
        <f>IF(AN60=21,J60,0)</f>
        <v>0</v>
      </c>
      <c r="AN60" s="24">
        <v>21</v>
      </c>
      <c r="AO60" s="24">
        <f>G60*0.117741935</f>
        <v>0</v>
      </c>
      <c r="AP60" s="24">
        <f>G60*(1-0.117741935)</f>
        <v>0</v>
      </c>
      <c r="AQ60" s="26" t="s">
        <v>63</v>
      </c>
      <c r="AV60" s="24">
        <f>AW60+AX60</f>
        <v>0</v>
      </c>
      <c r="AW60" s="24">
        <f>F60*AO60</f>
        <v>0</v>
      </c>
      <c r="AX60" s="24">
        <f>F60*AP60</f>
        <v>0</v>
      </c>
      <c r="AY60" s="26" t="s">
        <v>194</v>
      </c>
      <c r="AZ60" s="26" t="s">
        <v>141</v>
      </c>
      <c r="BA60" s="10" t="s">
        <v>62</v>
      </c>
      <c r="BC60" s="24">
        <f>AW60+AX60</f>
        <v>0</v>
      </c>
      <c r="BD60" s="24">
        <f>G60/(100-BE60)*100</f>
        <v>0</v>
      </c>
      <c r="BE60" s="24">
        <v>0</v>
      </c>
      <c r="BF60" s="24">
        <f>60</f>
        <v>60</v>
      </c>
      <c r="BH60" s="24">
        <f>F60*AO60</f>
        <v>0</v>
      </c>
      <c r="BI60" s="24">
        <f>F60*AP60</f>
        <v>0</v>
      </c>
      <c r="BJ60" s="24">
        <f>F60*G60</f>
        <v>0</v>
      </c>
      <c r="BK60" s="24"/>
      <c r="BL60" s="24"/>
      <c r="BW60" s="24">
        <v>21</v>
      </c>
      <c r="BX60" s="4" t="s">
        <v>203</v>
      </c>
    </row>
    <row r="61" spans="1:76" x14ac:dyDescent="0.25">
      <c r="A61" s="2" t="s">
        <v>204</v>
      </c>
      <c r="B61" s="3" t="s">
        <v>205</v>
      </c>
      <c r="C61" s="68" t="s">
        <v>206</v>
      </c>
      <c r="D61" s="63"/>
      <c r="E61" s="3" t="s">
        <v>58</v>
      </c>
      <c r="F61" s="24">
        <v>105</v>
      </c>
      <c r="G61" s="24">
        <v>0</v>
      </c>
      <c r="H61" s="24">
        <f>F61*AO61</f>
        <v>0</v>
      </c>
      <c r="I61" s="24">
        <f>F61*AP61</f>
        <v>0</v>
      </c>
      <c r="J61" s="24">
        <f>F61*G61</f>
        <v>0</v>
      </c>
      <c r="K61" s="25" t="s">
        <v>59</v>
      </c>
      <c r="Z61" s="24">
        <f>IF(AQ61="5",BJ61,0)</f>
        <v>0</v>
      </c>
      <c r="AB61" s="24">
        <f>IF(AQ61="1",BH61,0)</f>
        <v>0</v>
      </c>
      <c r="AC61" s="24">
        <f>IF(AQ61="1",BI61,0)</f>
        <v>0</v>
      </c>
      <c r="AD61" s="24">
        <f>IF(AQ61="7",BH61,0)</f>
        <v>0</v>
      </c>
      <c r="AE61" s="24">
        <f>IF(AQ61="7",BI61,0)</f>
        <v>0</v>
      </c>
      <c r="AF61" s="24">
        <f>IF(AQ61="2",BH61,0)</f>
        <v>0</v>
      </c>
      <c r="AG61" s="24">
        <f>IF(AQ61="2",BI61,0)</f>
        <v>0</v>
      </c>
      <c r="AH61" s="24">
        <f>IF(AQ61="0",BJ61,0)</f>
        <v>0</v>
      </c>
      <c r="AI61" s="10" t="s">
        <v>52</v>
      </c>
      <c r="AJ61" s="24">
        <f>IF(AN61=0,J61,0)</f>
        <v>0</v>
      </c>
      <c r="AK61" s="24">
        <f>IF(AN61=12,J61,0)</f>
        <v>0</v>
      </c>
      <c r="AL61" s="24">
        <f>IF(AN61=21,J61,0)</f>
        <v>0</v>
      </c>
      <c r="AN61" s="24">
        <v>21</v>
      </c>
      <c r="AO61" s="24">
        <f>G61*0</f>
        <v>0</v>
      </c>
      <c r="AP61" s="24">
        <f>G61*(1-0)</f>
        <v>0</v>
      </c>
      <c r="AQ61" s="26" t="s">
        <v>63</v>
      </c>
      <c r="AV61" s="24">
        <f>AW61+AX61</f>
        <v>0</v>
      </c>
      <c r="AW61" s="24">
        <f>F61*AO61</f>
        <v>0</v>
      </c>
      <c r="AX61" s="24">
        <f>F61*AP61</f>
        <v>0</v>
      </c>
      <c r="AY61" s="26" t="s">
        <v>194</v>
      </c>
      <c r="AZ61" s="26" t="s">
        <v>141</v>
      </c>
      <c r="BA61" s="10" t="s">
        <v>62</v>
      </c>
      <c r="BC61" s="24">
        <f>AW61+AX61</f>
        <v>0</v>
      </c>
      <c r="BD61" s="24">
        <f>G61/(100-BE61)*100</f>
        <v>0</v>
      </c>
      <c r="BE61" s="24">
        <v>0</v>
      </c>
      <c r="BF61" s="24">
        <f>61</f>
        <v>61</v>
      </c>
      <c r="BH61" s="24">
        <f>F61*AO61</f>
        <v>0</v>
      </c>
      <c r="BI61" s="24">
        <f>F61*AP61</f>
        <v>0</v>
      </c>
      <c r="BJ61" s="24">
        <f>F61*G61</f>
        <v>0</v>
      </c>
      <c r="BK61" s="24"/>
      <c r="BL61" s="24"/>
      <c r="BW61" s="24">
        <v>21</v>
      </c>
      <c r="BX61" s="4" t="s">
        <v>206</v>
      </c>
    </row>
    <row r="62" spans="1:76" x14ac:dyDescent="0.25">
      <c r="A62" s="27" t="s">
        <v>52</v>
      </c>
      <c r="B62" s="28" t="s">
        <v>207</v>
      </c>
      <c r="C62" s="84" t="s">
        <v>208</v>
      </c>
      <c r="D62" s="85"/>
      <c r="E62" s="29" t="s">
        <v>19</v>
      </c>
      <c r="F62" s="29" t="s">
        <v>19</v>
      </c>
      <c r="G62" s="29" t="s">
        <v>19</v>
      </c>
      <c r="H62" s="1">
        <f>SUM(H63:H67)</f>
        <v>0</v>
      </c>
      <c r="I62" s="1">
        <f>SUM(I63:I67)</f>
        <v>0</v>
      </c>
      <c r="J62" s="1">
        <f>SUM(J63:J67)</f>
        <v>0</v>
      </c>
      <c r="K62" s="30" t="s">
        <v>52</v>
      </c>
      <c r="AI62" s="10" t="s">
        <v>52</v>
      </c>
      <c r="AS62" s="1">
        <f>SUM(AJ63:AJ67)</f>
        <v>0</v>
      </c>
      <c r="AT62" s="1">
        <f>SUM(AK63:AK67)</f>
        <v>0</v>
      </c>
      <c r="AU62" s="1">
        <f>SUM(AL63:AL67)</f>
        <v>0</v>
      </c>
    </row>
    <row r="63" spans="1:76" ht="25.5" x14ac:dyDescent="0.25">
      <c r="A63" s="2" t="s">
        <v>209</v>
      </c>
      <c r="B63" s="3" t="s">
        <v>210</v>
      </c>
      <c r="C63" s="68" t="s">
        <v>211</v>
      </c>
      <c r="D63" s="63"/>
      <c r="E63" s="3" t="s">
        <v>175</v>
      </c>
      <c r="F63" s="24">
        <v>5</v>
      </c>
      <c r="G63" s="24">
        <v>0</v>
      </c>
      <c r="H63" s="24">
        <f>F63*AO63</f>
        <v>0</v>
      </c>
      <c r="I63" s="24">
        <f>F63*AP63</f>
        <v>0</v>
      </c>
      <c r="J63" s="24">
        <f>F63*G63</f>
        <v>0</v>
      </c>
      <c r="K63" s="25" t="s">
        <v>59</v>
      </c>
      <c r="Z63" s="24">
        <f>IF(AQ63="5",BJ63,0)</f>
        <v>0</v>
      </c>
      <c r="AB63" s="24">
        <f>IF(AQ63="1",BH63,0)</f>
        <v>0</v>
      </c>
      <c r="AC63" s="24">
        <f>IF(AQ63="1",BI63,0)</f>
        <v>0</v>
      </c>
      <c r="AD63" s="24">
        <f>IF(AQ63="7",BH63,0)</f>
        <v>0</v>
      </c>
      <c r="AE63" s="24">
        <f>IF(AQ63="7",BI63,0)</f>
        <v>0</v>
      </c>
      <c r="AF63" s="24">
        <f>IF(AQ63="2",BH63,0)</f>
        <v>0</v>
      </c>
      <c r="AG63" s="24">
        <f>IF(AQ63="2",BI63,0)</f>
        <v>0</v>
      </c>
      <c r="AH63" s="24">
        <f>IF(AQ63="0",BJ63,0)</f>
        <v>0</v>
      </c>
      <c r="AI63" s="10" t="s">
        <v>52</v>
      </c>
      <c r="AJ63" s="24">
        <f>IF(AN63=0,J63,0)</f>
        <v>0</v>
      </c>
      <c r="AK63" s="24">
        <f>IF(AN63=12,J63,0)</f>
        <v>0</v>
      </c>
      <c r="AL63" s="24">
        <f>IF(AN63=21,J63,0)</f>
        <v>0</v>
      </c>
      <c r="AN63" s="24">
        <v>21</v>
      </c>
      <c r="AO63" s="24">
        <f>G63*0</f>
        <v>0</v>
      </c>
      <c r="AP63" s="24">
        <f>G63*(1-0)</f>
        <v>0</v>
      </c>
      <c r="AQ63" s="26" t="s">
        <v>76</v>
      </c>
      <c r="AV63" s="24">
        <f>AW63+AX63</f>
        <v>0</v>
      </c>
      <c r="AW63" s="24">
        <f>F63*AO63</f>
        <v>0</v>
      </c>
      <c r="AX63" s="24">
        <f>F63*AP63</f>
        <v>0</v>
      </c>
      <c r="AY63" s="26" t="s">
        <v>212</v>
      </c>
      <c r="AZ63" s="26" t="s">
        <v>141</v>
      </c>
      <c r="BA63" s="10" t="s">
        <v>62</v>
      </c>
      <c r="BC63" s="24">
        <f>AW63+AX63</f>
        <v>0</v>
      </c>
      <c r="BD63" s="24">
        <f>G63/(100-BE63)*100</f>
        <v>0</v>
      </c>
      <c r="BE63" s="24">
        <v>0</v>
      </c>
      <c r="BF63" s="24">
        <f>63</f>
        <v>63</v>
      </c>
      <c r="BH63" s="24">
        <f>F63*AO63</f>
        <v>0</v>
      </c>
      <c r="BI63" s="24">
        <f>F63*AP63</f>
        <v>0</v>
      </c>
      <c r="BJ63" s="24">
        <f>F63*G63</f>
        <v>0</v>
      </c>
      <c r="BK63" s="24"/>
      <c r="BL63" s="24"/>
      <c r="BW63" s="24">
        <v>21</v>
      </c>
      <c r="BX63" s="4" t="s">
        <v>211</v>
      </c>
    </row>
    <row r="64" spans="1:76" x14ac:dyDescent="0.25">
      <c r="A64" s="2" t="s">
        <v>213</v>
      </c>
      <c r="B64" s="3" t="s">
        <v>214</v>
      </c>
      <c r="C64" s="68" t="s">
        <v>215</v>
      </c>
      <c r="D64" s="63"/>
      <c r="E64" s="3" t="s">
        <v>175</v>
      </c>
      <c r="F64" s="24">
        <v>162.36000000000001</v>
      </c>
      <c r="G64" s="24">
        <v>0</v>
      </c>
      <c r="H64" s="24">
        <f>F64*AO64</f>
        <v>0</v>
      </c>
      <c r="I64" s="24">
        <f>F64*AP64</f>
        <v>0</v>
      </c>
      <c r="J64" s="24">
        <f>F64*G64</f>
        <v>0</v>
      </c>
      <c r="K64" s="25" t="s">
        <v>216</v>
      </c>
      <c r="Z64" s="24">
        <f>IF(AQ64="5",BJ64,0)</f>
        <v>0</v>
      </c>
      <c r="AB64" s="24">
        <f>IF(AQ64="1",BH64,0)</f>
        <v>0</v>
      </c>
      <c r="AC64" s="24">
        <f>IF(AQ64="1",BI64,0)</f>
        <v>0</v>
      </c>
      <c r="AD64" s="24">
        <f>IF(AQ64="7",BH64,0)</f>
        <v>0</v>
      </c>
      <c r="AE64" s="24">
        <f>IF(AQ64="7",BI64,0)</f>
        <v>0</v>
      </c>
      <c r="AF64" s="24">
        <f>IF(AQ64="2",BH64,0)</f>
        <v>0</v>
      </c>
      <c r="AG64" s="24">
        <f>IF(AQ64="2",BI64,0)</f>
        <v>0</v>
      </c>
      <c r="AH64" s="24">
        <f>IF(AQ64="0",BJ64,0)</f>
        <v>0</v>
      </c>
      <c r="AI64" s="10" t="s">
        <v>52</v>
      </c>
      <c r="AJ64" s="24">
        <f>IF(AN64=0,J64,0)</f>
        <v>0</v>
      </c>
      <c r="AK64" s="24">
        <f>IF(AN64=12,J64,0)</f>
        <v>0</v>
      </c>
      <c r="AL64" s="24">
        <f>IF(AN64=21,J64,0)</f>
        <v>0</v>
      </c>
      <c r="AN64" s="24">
        <v>21</v>
      </c>
      <c r="AO64" s="24">
        <f>G64*0</f>
        <v>0</v>
      </c>
      <c r="AP64" s="24">
        <f>G64*(1-0)</f>
        <v>0</v>
      </c>
      <c r="AQ64" s="26" t="s">
        <v>76</v>
      </c>
      <c r="AV64" s="24">
        <f>AW64+AX64</f>
        <v>0</v>
      </c>
      <c r="AW64" s="24">
        <f>F64*AO64</f>
        <v>0</v>
      </c>
      <c r="AX64" s="24">
        <f>F64*AP64</f>
        <v>0</v>
      </c>
      <c r="AY64" s="26" t="s">
        <v>212</v>
      </c>
      <c r="AZ64" s="26" t="s">
        <v>141</v>
      </c>
      <c r="BA64" s="10" t="s">
        <v>62</v>
      </c>
      <c r="BC64" s="24">
        <f>AW64+AX64</f>
        <v>0</v>
      </c>
      <c r="BD64" s="24">
        <f>G64/(100-BE64)*100</f>
        <v>0</v>
      </c>
      <c r="BE64" s="24">
        <v>0</v>
      </c>
      <c r="BF64" s="24">
        <f>64</f>
        <v>64</v>
      </c>
      <c r="BH64" s="24">
        <f>F64*AO64</f>
        <v>0</v>
      </c>
      <c r="BI64" s="24">
        <f>F64*AP64</f>
        <v>0</v>
      </c>
      <c r="BJ64" s="24">
        <f>F64*G64</f>
        <v>0</v>
      </c>
      <c r="BK64" s="24"/>
      <c r="BL64" s="24"/>
      <c r="BW64" s="24">
        <v>21</v>
      </c>
      <c r="BX64" s="4" t="s">
        <v>215</v>
      </c>
    </row>
    <row r="65" spans="1:76" ht="25.5" x14ac:dyDescent="0.25">
      <c r="A65" s="2" t="s">
        <v>217</v>
      </c>
      <c r="B65" s="3" t="s">
        <v>218</v>
      </c>
      <c r="C65" s="68" t="s">
        <v>219</v>
      </c>
      <c r="D65" s="63"/>
      <c r="E65" s="3" t="s">
        <v>175</v>
      </c>
      <c r="F65" s="24">
        <v>102</v>
      </c>
      <c r="G65" s="24">
        <v>0</v>
      </c>
      <c r="H65" s="24">
        <f>F65*AO65</f>
        <v>0</v>
      </c>
      <c r="I65" s="24">
        <f>F65*AP65</f>
        <v>0</v>
      </c>
      <c r="J65" s="24">
        <f>F65*G65</f>
        <v>0</v>
      </c>
      <c r="K65" s="25" t="s">
        <v>59</v>
      </c>
      <c r="Z65" s="24">
        <f>IF(AQ65="5",BJ65,0)</f>
        <v>0</v>
      </c>
      <c r="AB65" s="24">
        <f>IF(AQ65="1",BH65,0)</f>
        <v>0</v>
      </c>
      <c r="AC65" s="24">
        <f>IF(AQ65="1",BI65,0)</f>
        <v>0</v>
      </c>
      <c r="AD65" s="24">
        <f>IF(AQ65="7",BH65,0)</f>
        <v>0</v>
      </c>
      <c r="AE65" s="24">
        <f>IF(AQ65="7",BI65,0)</f>
        <v>0</v>
      </c>
      <c r="AF65" s="24">
        <f>IF(AQ65="2",BH65,0)</f>
        <v>0</v>
      </c>
      <c r="AG65" s="24">
        <f>IF(AQ65="2",BI65,0)</f>
        <v>0</v>
      </c>
      <c r="AH65" s="24">
        <f>IF(AQ65="0",BJ65,0)</f>
        <v>0</v>
      </c>
      <c r="AI65" s="10" t="s">
        <v>52</v>
      </c>
      <c r="AJ65" s="24">
        <f>IF(AN65=0,J65,0)</f>
        <v>0</v>
      </c>
      <c r="AK65" s="24">
        <f>IF(AN65=12,J65,0)</f>
        <v>0</v>
      </c>
      <c r="AL65" s="24">
        <f>IF(AN65=21,J65,0)</f>
        <v>0</v>
      </c>
      <c r="AN65" s="24">
        <v>21</v>
      </c>
      <c r="AO65" s="24">
        <f>G65*0</f>
        <v>0</v>
      </c>
      <c r="AP65" s="24">
        <f>G65*(1-0)</f>
        <v>0</v>
      </c>
      <c r="AQ65" s="26" t="s">
        <v>76</v>
      </c>
      <c r="AV65" s="24">
        <f>AW65+AX65</f>
        <v>0</v>
      </c>
      <c r="AW65" s="24">
        <f>F65*AO65</f>
        <v>0</v>
      </c>
      <c r="AX65" s="24">
        <f>F65*AP65</f>
        <v>0</v>
      </c>
      <c r="AY65" s="26" t="s">
        <v>212</v>
      </c>
      <c r="AZ65" s="26" t="s">
        <v>141</v>
      </c>
      <c r="BA65" s="10" t="s">
        <v>62</v>
      </c>
      <c r="BC65" s="24">
        <f>AW65+AX65</f>
        <v>0</v>
      </c>
      <c r="BD65" s="24">
        <f>G65/(100-BE65)*100</f>
        <v>0</v>
      </c>
      <c r="BE65" s="24">
        <v>0</v>
      </c>
      <c r="BF65" s="24">
        <f>65</f>
        <v>65</v>
      </c>
      <c r="BH65" s="24">
        <f>F65*AO65</f>
        <v>0</v>
      </c>
      <c r="BI65" s="24">
        <f>F65*AP65</f>
        <v>0</v>
      </c>
      <c r="BJ65" s="24">
        <f>F65*G65</f>
        <v>0</v>
      </c>
      <c r="BK65" s="24"/>
      <c r="BL65" s="24"/>
      <c r="BW65" s="24">
        <v>21</v>
      </c>
      <c r="BX65" s="4" t="s">
        <v>219</v>
      </c>
    </row>
    <row r="66" spans="1:76" x14ac:dyDescent="0.25">
      <c r="A66" s="2" t="s">
        <v>220</v>
      </c>
      <c r="B66" s="3" t="s">
        <v>221</v>
      </c>
      <c r="C66" s="68" t="s">
        <v>222</v>
      </c>
      <c r="D66" s="63"/>
      <c r="E66" s="3" t="s">
        <v>175</v>
      </c>
      <c r="F66" s="24">
        <v>5955.5839999999998</v>
      </c>
      <c r="G66" s="24">
        <v>0</v>
      </c>
      <c r="H66" s="24">
        <f>F66*AO66</f>
        <v>0</v>
      </c>
      <c r="I66" s="24">
        <f>F66*AP66</f>
        <v>0</v>
      </c>
      <c r="J66" s="24">
        <f>F66*G66</f>
        <v>0</v>
      </c>
      <c r="K66" s="25" t="s">
        <v>59</v>
      </c>
      <c r="Z66" s="24">
        <f>IF(AQ66="5",BJ66,0)</f>
        <v>0</v>
      </c>
      <c r="AB66" s="24">
        <f>IF(AQ66="1",BH66,0)</f>
        <v>0</v>
      </c>
      <c r="AC66" s="24">
        <f>IF(AQ66="1",BI66,0)</f>
        <v>0</v>
      </c>
      <c r="AD66" s="24">
        <f>IF(AQ66="7",BH66,0)</f>
        <v>0</v>
      </c>
      <c r="AE66" s="24">
        <f>IF(AQ66="7",BI66,0)</f>
        <v>0</v>
      </c>
      <c r="AF66" s="24">
        <f>IF(AQ66="2",BH66,0)</f>
        <v>0</v>
      </c>
      <c r="AG66" s="24">
        <f>IF(AQ66="2",BI66,0)</f>
        <v>0</v>
      </c>
      <c r="AH66" s="24">
        <f>IF(AQ66="0",BJ66,0)</f>
        <v>0</v>
      </c>
      <c r="AI66" s="10" t="s">
        <v>52</v>
      </c>
      <c r="AJ66" s="24">
        <f>IF(AN66=0,J66,0)</f>
        <v>0</v>
      </c>
      <c r="AK66" s="24">
        <f>IF(AN66=12,J66,0)</f>
        <v>0</v>
      </c>
      <c r="AL66" s="24">
        <f>IF(AN66=21,J66,0)</f>
        <v>0</v>
      </c>
      <c r="AN66" s="24">
        <v>21</v>
      </c>
      <c r="AO66" s="24">
        <f>G66*0</f>
        <v>0</v>
      </c>
      <c r="AP66" s="24">
        <f>G66*(1-0)</f>
        <v>0</v>
      </c>
      <c r="AQ66" s="26" t="s">
        <v>76</v>
      </c>
      <c r="AV66" s="24">
        <f>AW66+AX66</f>
        <v>0</v>
      </c>
      <c r="AW66" s="24">
        <f>F66*AO66</f>
        <v>0</v>
      </c>
      <c r="AX66" s="24">
        <f>F66*AP66</f>
        <v>0</v>
      </c>
      <c r="AY66" s="26" t="s">
        <v>212</v>
      </c>
      <c r="AZ66" s="26" t="s">
        <v>141</v>
      </c>
      <c r="BA66" s="10" t="s">
        <v>62</v>
      </c>
      <c r="BC66" s="24">
        <f>AW66+AX66</f>
        <v>0</v>
      </c>
      <c r="BD66" s="24">
        <f>G66/(100-BE66)*100</f>
        <v>0</v>
      </c>
      <c r="BE66" s="24">
        <v>0</v>
      </c>
      <c r="BF66" s="24">
        <f>66</f>
        <v>66</v>
      </c>
      <c r="BH66" s="24">
        <f>F66*AO66</f>
        <v>0</v>
      </c>
      <c r="BI66" s="24">
        <f>F66*AP66</f>
        <v>0</v>
      </c>
      <c r="BJ66" s="24">
        <f>F66*G66</f>
        <v>0</v>
      </c>
      <c r="BK66" s="24"/>
      <c r="BL66" s="24"/>
      <c r="BW66" s="24">
        <v>21</v>
      </c>
      <c r="BX66" s="4" t="s">
        <v>222</v>
      </c>
    </row>
    <row r="67" spans="1:76" x14ac:dyDescent="0.25">
      <c r="A67" s="2" t="s">
        <v>223</v>
      </c>
      <c r="B67" s="3" t="s">
        <v>224</v>
      </c>
      <c r="C67" s="68" t="s">
        <v>225</v>
      </c>
      <c r="D67" s="63"/>
      <c r="E67" s="3" t="s">
        <v>175</v>
      </c>
      <c r="F67" s="24">
        <v>10</v>
      </c>
      <c r="G67" s="24">
        <v>0</v>
      </c>
      <c r="H67" s="24">
        <f>F67*AO67</f>
        <v>0</v>
      </c>
      <c r="I67" s="24">
        <f>F67*AP67</f>
        <v>0</v>
      </c>
      <c r="J67" s="24">
        <f>F67*G67</f>
        <v>0</v>
      </c>
      <c r="K67" s="25" t="s">
        <v>59</v>
      </c>
      <c r="Z67" s="24">
        <f>IF(AQ67="5",BJ67,0)</f>
        <v>0</v>
      </c>
      <c r="AB67" s="24">
        <f>IF(AQ67="1",BH67,0)</f>
        <v>0</v>
      </c>
      <c r="AC67" s="24">
        <f>IF(AQ67="1",BI67,0)</f>
        <v>0</v>
      </c>
      <c r="AD67" s="24">
        <f>IF(AQ67="7",BH67,0)</f>
        <v>0</v>
      </c>
      <c r="AE67" s="24">
        <f>IF(AQ67="7",BI67,0)</f>
        <v>0</v>
      </c>
      <c r="AF67" s="24">
        <f>IF(AQ67="2",BH67,0)</f>
        <v>0</v>
      </c>
      <c r="AG67" s="24">
        <f>IF(AQ67="2",BI67,0)</f>
        <v>0</v>
      </c>
      <c r="AH67" s="24">
        <f>IF(AQ67="0",BJ67,0)</f>
        <v>0</v>
      </c>
      <c r="AI67" s="10" t="s">
        <v>52</v>
      </c>
      <c r="AJ67" s="24">
        <f>IF(AN67=0,J67,0)</f>
        <v>0</v>
      </c>
      <c r="AK67" s="24">
        <f>IF(AN67=12,J67,0)</f>
        <v>0</v>
      </c>
      <c r="AL67" s="24">
        <f>IF(AN67=21,J67,0)</f>
        <v>0</v>
      </c>
      <c r="AN67" s="24">
        <v>21</v>
      </c>
      <c r="AO67" s="24">
        <f>G67*0</f>
        <v>0</v>
      </c>
      <c r="AP67" s="24">
        <f>G67*(1-0)</f>
        <v>0</v>
      </c>
      <c r="AQ67" s="26" t="s">
        <v>76</v>
      </c>
      <c r="AV67" s="24">
        <f>AW67+AX67</f>
        <v>0</v>
      </c>
      <c r="AW67" s="24">
        <f>F67*AO67</f>
        <v>0</v>
      </c>
      <c r="AX67" s="24">
        <f>F67*AP67</f>
        <v>0</v>
      </c>
      <c r="AY67" s="26" t="s">
        <v>212</v>
      </c>
      <c r="AZ67" s="26" t="s">
        <v>141</v>
      </c>
      <c r="BA67" s="10" t="s">
        <v>62</v>
      </c>
      <c r="BC67" s="24">
        <f>AW67+AX67</f>
        <v>0</v>
      </c>
      <c r="BD67" s="24">
        <f>G67/(100-BE67)*100</f>
        <v>0</v>
      </c>
      <c r="BE67" s="24">
        <v>0</v>
      </c>
      <c r="BF67" s="24">
        <f>67</f>
        <v>67</v>
      </c>
      <c r="BH67" s="24">
        <f>F67*AO67</f>
        <v>0</v>
      </c>
      <c r="BI67" s="24">
        <f>F67*AP67</f>
        <v>0</v>
      </c>
      <c r="BJ67" s="24">
        <f>F67*G67</f>
        <v>0</v>
      </c>
      <c r="BK67" s="24"/>
      <c r="BL67" s="24"/>
      <c r="BW67" s="24">
        <v>21</v>
      </c>
      <c r="BX67" s="4" t="s">
        <v>225</v>
      </c>
    </row>
    <row r="68" spans="1:76" x14ac:dyDescent="0.25">
      <c r="A68" s="27" t="s">
        <v>52</v>
      </c>
      <c r="B68" s="28" t="s">
        <v>226</v>
      </c>
      <c r="C68" s="84" t="s">
        <v>227</v>
      </c>
      <c r="D68" s="85"/>
      <c r="E68" s="29" t="s">
        <v>19</v>
      </c>
      <c r="F68" s="29" t="s">
        <v>19</v>
      </c>
      <c r="G68" s="29" t="s">
        <v>19</v>
      </c>
      <c r="H68" s="1">
        <f>SUM(H69:H82)</f>
        <v>0</v>
      </c>
      <c r="I68" s="1">
        <f>SUM(I69:I82)</f>
        <v>0</v>
      </c>
      <c r="J68" s="1">
        <f>SUM(J69:J82)</f>
        <v>0</v>
      </c>
      <c r="K68" s="30" t="s">
        <v>52</v>
      </c>
      <c r="AI68" s="10" t="s">
        <v>52</v>
      </c>
      <c r="AS68" s="1">
        <f>SUM(AJ69:AJ82)</f>
        <v>0</v>
      </c>
      <c r="AT68" s="1">
        <f>SUM(AK69:AK82)</f>
        <v>0</v>
      </c>
      <c r="AU68" s="1">
        <f>SUM(AL69:AL82)</f>
        <v>0</v>
      </c>
    </row>
    <row r="69" spans="1:76" x14ac:dyDescent="0.25">
      <c r="A69" s="2" t="s">
        <v>228</v>
      </c>
      <c r="B69" s="3" t="s">
        <v>229</v>
      </c>
      <c r="C69" s="68" t="s">
        <v>230</v>
      </c>
      <c r="D69" s="63"/>
      <c r="E69" s="3" t="s">
        <v>66</v>
      </c>
      <c r="F69" s="24">
        <v>85</v>
      </c>
      <c r="G69" s="24">
        <v>0</v>
      </c>
      <c r="H69" s="24">
        <f t="shared" ref="H69:H82" si="22">F69*AO69</f>
        <v>0</v>
      </c>
      <c r="I69" s="24">
        <f t="shared" ref="I69:I82" si="23">F69*AP69</f>
        <v>0</v>
      </c>
      <c r="J69" s="24">
        <f t="shared" ref="J69:J82" si="24">F69*G69</f>
        <v>0</v>
      </c>
      <c r="K69" s="25" t="s">
        <v>216</v>
      </c>
      <c r="Z69" s="24">
        <f t="shared" ref="Z69:Z82" si="25">IF(AQ69="5",BJ69,0)</f>
        <v>0</v>
      </c>
      <c r="AB69" s="24">
        <f t="shared" ref="AB69:AB82" si="26">IF(AQ69="1",BH69,0)</f>
        <v>0</v>
      </c>
      <c r="AC69" s="24">
        <f t="shared" ref="AC69:AC82" si="27">IF(AQ69="1",BI69,0)</f>
        <v>0</v>
      </c>
      <c r="AD69" s="24">
        <f t="shared" ref="AD69:AD82" si="28">IF(AQ69="7",BH69,0)</f>
        <v>0</v>
      </c>
      <c r="AE69" s="24">
        <f t="shared" ref="AE69:AE82" si="29">IF(AQ69="7",BI69,0)</f>
        <v>0</v>
      </c>
      <c r="AF69" s="24">
        <f t="shared" ref="AF69:AF82" si="30">IF(AQ69="2",BH69,0)</f>
        <v>0</v>
      </c>
      <c r="AG69" s="24">
        <f t="shared" ref="AG69:AG82" si="31">IF(AQ69="2",BI69,0)</f>
        <v>0</v>
      </c>
      <c r="AH69" s="24">
        <f t="shared" ref="AH69:AH82" si="32">IF(AQ69="0",BJ69,0)</f>
        <v>0</v>
      </c>
      <c r="AI69" s="10" t="s">
        <v>52</v>
      </c>
      <c r="AJ69" s="24">
        <f t="shared" ref="AJ69:AJ82" si="33">IF(AN69=0,J69,0)</f>
        <v>0</v>
      </c>
      <c r="AK69" s="24">
        <f t="shared" ref="AK69:AK82" si="34">IF(AN69=12,J69,0)</f>
        <v>0</v>
      </c>
      <c r="AL69" s="24">
        <f t="shared" ref="AL69:AL82" si="35">IF(AN69=21,J69,0)</f>
        <v>0</v>
      </c>
      <c r="AN69" s="24">
        <v>21</v>
      </c>
      <c r="AO69" s="24">
        <f t="shared" ref="AO69:AO82" si="36">G69*1</f>
        <v>0</v>
      </c>
      <c r="AP69" s="24">
        <f t="shared" ref="AP69:AP82" si="37">G69*(1-1)</f>
        <v>0</v>
      </c>
      <c r="AQ69" s="26" t="s">
        <v>231</v>
      </c>
      <c r="AV69" s="24">
        <f t="shared" ref="AV69:AV82" si="38">AW69+AX69</f>
        <v>0</v>
      </c>
      <c r="AW69" s="24">
        <f t="shared" ref="AW69:AW82" si="39">F69*AO69</f>
        <v>0</v>
      </c>
      <c r="AX69" s="24">
        <f t="shared" ref="AX69:AX82" si="40">F69*AP69</f>
        <v>0</v>
      </c>
      <c r="AY69" s="26" t="s">
        <v>232</v>
      </c>
      <c r="AZ69" s="26" t="s">
        <v>233</v>
      </c>
      <c r="BA69" s="10" t="s">
        <v>62</v>
      </c>
      <c r="BC69" s="24">
        <f t="shared" ref="BC69:BC82" si="41">AW69+AX69</f>
        <v>0</v>
      </c>
      <c r="BD69" s="24">
        <f t="shared" ref="BD69:BD82" si="42">G69/(100-BE69)*100</f>
        <v>0</v>
      </c>
      <c r="BE69" s="24">
        <v>0</v>
      </c>
      <c r="BF69" s="24">
        <f>69</f>
        <v>69</v>
      </c>
      <c r="BH69" s="24">
        <f t="shared" ref="BH69:BH82" si="43">F69*AO69</f>
        <v>0</v>
      </c>
      <c r="BI69" s="24">
        <f t="shared" ref="BI69:BI82" si="44">F69*AP69</f>
        <v>0</v>
      </c>
      <c r="BJ69" s="24">
        <f t="shared" ref="BJ69:BJ82" si="45">F69*G69</f>
        <v>0</v>
      </c>
      <c r="BK69" s="24"/>
      <c r="BL69" s="24"/>
      <c r="BW69" s="24">
        <v>21</v>
      </c>
      <c r="BX69" s="4" t="s">
        <v>230</v>
      </c>
    </row>
    <row r="70" spans="1:76" x14ac:dyDescent="0.25">
      <c r="A70" s="2" t="s">
        <v>234</v>
      </c>
      <c r="B70" s="3" t="s">
        <v>235</v>
      </c>
      <c r="C70" s="68" t="s">
        <v>236</v>
      </c>
      <c r="D70" s="63"/>
      <c r="E70" s="3" t="s">
        <v>58</v>
      </c>
      <c r="F70" s="24">
        <v>450</v>
      </c>
      <c r="G70" s="24">
        <v>0</v>
      </c>
      <c r="H70" s="24">
        <f t="shared" si="22"/>
        <v>0</v>
      </c>
      <c r="I70" s="24">
        <f t="shared" si="23"/>
        <v>0</v>
      </c>
      <c r="J70" s="24">
        <f t="shared" si="24"/>
        <v>0</v>
      </c>
      <c r="K70" s="25" t="s">
        <v>59</v>
      </c>
      <c r="Z70" s="24">
        <f t="shared" si="25"/>
        <v>0</v>
      </c>
      <c r="AB70" s="24">
        <f t="shared" si="26"/>
        <v>0</v>
      </c>
      <c r="AC70" s="24">
        <f t="shared" si="27"/>
        <v>0</v>
      </c>
      <c r="AD70" s="24">
        <f t="shared" si="28"/>
        <v>0</v>
      </c>
      <c r="AE70" s="24">
        <f t="shared" si="29"/>
        <v>0</v>
      </c>
      <c r="AF70" s="24">
        <f t="shared" si="30"/>
        <v>0</v>
      </c>
      <c r="AG70" s="24">
        <f t="shared" si="31"/>
        <v>0</v>
      </c>
      <c r="AH70" s="24">
        <f t="shared" si="32"/>
        <v>0</v>
      </c>
      <c r="AI70" s="10" t="s">
        <v>52</v>
      </c>
      <c r="AJ70" s="24">
        <f t="shared" si="33"/>
        <v>0</v>
      </c>
      <c r="AK70" s="24">
        <f t="shared" si="34"/>
        <v>0</v>
      </c>
      <c r="AL70" s="24">
        <f t="shared" si="35"/>
        <v>0</v>
      </c>
      <c r="AN70" s="24">
        <v>21</v>
      </c>
      <c r="AO70" s="24">
        <f t="shared" si="36"/>
        <v>0</v>
      </c>
      <c r="AP70" s="24">
        <f t="shared" si="37"/>
        <v>0</v>
      </c>
      <c r="AQ70" s="26" t="s">
        <v>231</v>
      </c>
      <c r="AV70" s="24">
        <f t="shared" si="38"/>
        <v>0</v>
      </c>
      <c r="AW70" s="24">
        <f t="shared" si="39"/>
        <v>0</v>
      </c>
      <c r="AX70" s="24">
        <f t="shared" si="40"/>
        <v>0</v>
      </c>
      <c r="AY70" s="26" t="s">
        <v>232</v>
      </c>
      <c r="AZ70" s="26" t="s">
        <v>233</v>
      </c>
      <c r="BA70" s="10" t="s">
        <v>62</v>
      </c>
      <c r="BC70" s="24">
        <f t="shared" si="41"/>
        <v>0</v>
      </c>
      <c r="BD70" s="24">
        <f t="shared" si="42"/>
        <v>0</v>
      </c>
      <c r="BE70" s="24">
        <v>0</v>
      </c>
      <c r="BF70" s="24">
        <f>70</f>
        <v>70</v>
      </c>
      <c r="BH70" s="24">
        <f t="shared" si="43"/>
        <v>0</v>
      </c>
      <c r="BI70" s="24">
        <f t="shared" si="44"/>
        <v>0</v>
      </c>
      <c r="BJ70" s="24">
        <f t="shared" si="45"/>
        <v>0</v>
      </c>
      <c r="BK70" s="24"/>
      <c r="BL70" s="24"/>
      <c r="BW70" s="24">
        <v>21</v>
      </c>
      <c r="BX70" s="4" t="s">
        <v>236</v>
      </c>
    </row>
    <row r="71" spans="1:76" x14ac:dyDescent="0.25">
      <c r="A71" s="2" t="s">
        <v>237</v>
      </c>
      <c r="B71" s="3" t="s">
        <v>238</v>
      </c>
      <c r="C71" s="68" t="s">
        <v>239</v>
      </c>
      <c r="D71" s="63"/>
      <c r="E71" s="3" t="s">
        <v>175</v>
      </c>
      <c r="F71" s="24">
        <v>65</v>
      </c>
      <c r="G71" s="24">
        <v>0</v>
      </c>
      <c r="H71" s="24">
        <f t="shared" si="22"/>
        <v>0</v>
      </c>
      <c r="I71" s="24">
        <f t="shared" si="23"/>
        <v>0</v>
      </c>
      <c r="J71" s="24">
        <f t="shared" si="24"/>
        <v>0</v>
      </c>
      <c r="K71" s="25" t="s">
        <v>59</v>
      </c>
      <c r="Z71" s="24">
        <f t="shared" si="25"/>
        <v>0</v>
      </c>
      <c r="AB71" s="24">
        <f t="shared" si="26"/>
        <v>0</v>
      </c>
      <c r="AC71" s="24">
        <f t="shared" si="27"/>
        <v>0</v>
      </c>
      <c r="AD71" s="24">
        <f t="shared" si="28"/>
        <v>0</v>
      </c>
      <c r="AE71" s="24">
        <f t="shared" si="29"/>
        <v>0</v>
      </c>
      <c r="AF71" s="24">
        <f t="shared" si="30"/>
        <v>0</v>
      </c>
      <c r="AG71" s="24">
        <f t="shared" si="31"/>
        <v>0</v>
      </c>
      <c r="AH71" s="24">
        <f t="shared" si="32"/>
        <v>0</v>
      </c>
      <c r="AI71" s="10" t="s">
        <v>52</v>
      </c>
      <c r="AJ71" s="24">
        <f t="shared" si="33"/>
        <v>0</v>
      </c>
      <c r="AK71" s="24">
        <f t="shared" si="34"/>
        <v>0</v>
      </c>
      <c r="AL71" s="24">
        <f t="shared" si="35"/>
        <v>0</v>
      </c>
      <c r="AN71" s="24">
        <v>21</v>
      </c>
      <c r="AO71" s="24">
        <f t="shared" si="36"/>
        <v>0</v>
      </c>
      <c r="AP71" s="24">
        <f t="shared" si="37"/>
        <v>0</v>
      </c>
      <c r="AQ71" s="26" t="s">
        <v>231</v>
      </c>
      <c r="AV71" s="24">
        <f t="shared" si="38"/>
        <v>0</v>
      </c>
      <c r="AW71" s="24">
        <f t="shared" si="39"/>
        <v>0</v>
      </c>
      <c r="AX71" s="24">
        <f t="shared" si="40"/>
        <v>0</v>
      </c>
      <c r="AY71" s="26" t="s">
        <v>232</v>
      </c>
      <c r="AZ71" s="26" t="s">
        <v>233</v>
      </c>
      <c r="BA71" s="10" t="s">
        <v>62</v>
      </c>
      <c r="BC71" s="24">
        <f t="shared" si="41"/>
        <v>0</v>
      </c>
      <c r="BD71" s="24">
        <f t="shared" si="42"/>
        <v>0</v>
      </c>
      <c r="BE71" s="24">
        <v>0</v>
      </c>
      <c r="BF71" s="24">
        <f>71</f>
        <v>71</v>
      </c>
      <c r="BH71" s="24">
        <f t="shared" si="43"/>
        <v>0</v>
      </c>
      <c r="BI71" s="24">
        <f t="shared" si="44"/>
        <v>0</v>
      </c>
      <c r="BJ71" s="24">
        <f t="shared" si="45"/>
        <v>0</v>
      </c>
      <c r="BK71" s="24"/>
      <c r="BL71" s="24"/>
      <c r="BW71" s="24">
        <v>21</v>
      </c>
      <c r="BX71" s="4" t="s">
        <v>239</v>
      </c>
    </row>
    <row r="72" spans="1:76" x14ac:dyDescent="0.25">
      <c r="A72" s="2" t="s">
        <v>240</v>
      </c>
      <c r="B72" s="3" t="s">
        <v>241</v>
      </c>
      <c r="C72" s="68" t="s">
        <v>242</v>
      </c>
      <c r="D72" s="63"/>
      <c r="E72" s="3" t="s">
        <v>175</v>
      </c>
      <c r="F72" s="24">
        <v>8</v>
      </c>
      <c r="G72" s="24">
        <v>0</v>
      </c>
      <c r="H72" s="24">
        <f t="shared" si="22"/>
        <v>0</v>
      </c>
      <c r="I72" s="24">
        <f t="shared" si="23"/>
        <v>0</v>
      </c>
      <c r="J72" s="24">
        <f t="shared" si="24"/>
        <v>0</v>
      </c>
      <c r="K72" s="25" t="s">
        <v>216</v>
      </c>
      <c r="Z72" s="24">
        <f t="shared" si="25"/>
        <v>0</v>
      </c>
      <c r="AB72" s="24">
        <f t="shared" si="26"/>
        <v>0</v>
      </c>
      <c r="AC72" s="24">
        <f t="shared" si="27"/>
        <v>0</v>
      </c>
      <c r="AD72" s="24">
        <f t="shared" si="28"/>
        <v>0</v>
      </c>
      <c r="AE72" s="24">
        <f t="shared" si="29"/>
        <v>0</v>
      </c>
      <c r="AF72" s="24">
        <f t="shared" si="30"/>
        <v>0</v>
      </c>
      <c r="AG72" s="24">
        <f t="shared" si="31"/>
        <v>0</v>
      </c>
      <c r="AH72" s="24">
        <f t="shared" si="32"/>
        <v>0</v>
      </c>
      <c r="AI72" s="10" t="s">
        <v>52</v>
      </c>
      <c r="AJ72" s="24">
        <f t="shared" si="33"/>
        <v>0</v>
      </c>
      <c r="AK72" s="24">
        <f t="shared" si="34"/>
        <v>0</v>
      </c>
      <c r="AL72" s="24">
        <f t="shared" si="35"/>
        <v>0</v>
      </c>
      <c r="AN72" s="24">
        <v>21</v>
      </c>
      <c r="AO72" s="24">
        <f t="shared" si="36"/>
        <v>0</v>
      </c>
      <c r="AP72" s="24">
        <f t="shared" si="37"/>
        <v>0</v>
      </c>
      <c r="AQ72" s="26" t="s">
        <v>231</v>
      </c>
      <c r="AV72" s="24">
        <f t="shared" si="38"/>
        <v>0</v>
      </c>
      <c r="AW72" s="24">
        <f t="shared" si="39"/>
        <v>0</v>
      </c>
      <c r="AX72" s="24">
        <f t="shared" si="40"/>
        <v>0</v>
      </c>
      <c r="AY72" s="26" t="s">
        <v>232</v>
      </c>
      <c r="AZ72" s="26" t="s">
        <v>233</v>
      </c>
      <c r="BA72" s="10" t="s">
        <v>62</v>
      </c>
      <c r="BC72" s="24">
        <f t="shared" si="41"/>
        <v>0</v>
      </c>
      <c r="BD72" s="24">
        <f t="shared" si="42"/>
        <v>0</v>
      </c>
      <c r="BE72" s="24">
        <v>0</v>
      </c>
      <c r="BF72" s="24">
        <f>72</f>
        <v>72</v>
      </c>
      <c r="BH72" s="24">
        <f t="shared" si="43"/>
        <v>0</v>
      </c>
      <c r="BI72" s="24">
        <f t="shared" si="44"/>
        <v>0</v>
      </c>
      <c r="BJ72" s="24">
        <f t="shared" si="45"/>
        <v>0</v>
      </c>
      <c r="BK72" s="24"/>
      <c r="BL72" s="24"/>
      <c r="BW72" s="24">
        <v>21</v>
      </c>
      <c r="BX72" s="4" t="s">
        <v>242</v>
      </c>
    </row>
    <row r="73" spans="1:76" x14ac:dyDescent="0.25">
      <c r="A73" s="2" t="s">
        <v>243</v>
      </c>
      <c r="B73" s="3" t="s">
        <v>244</v>
      </c>
      <c r="C73" s="68" t="s">
        <v>245</v>
      </c>
      <c r="D73" s="63"/>
      <c r="E73" s="3" t="s">
        <v>73</v>
      </c>
      <c r="F73" s="24">
        <v>15</v>
      </c>
      <c r="G73" s="24">
        <v>0</v>
      </c>
      <c r="H73" s="24">
        <f t="shared" si="22"/>
        <v>0</v>
      </c>
      <c r="I73" s="24">
        <f t="shared" si="23"/>
        <v>0</v>
      </c>
      <c r="J73" s="24">
        <f t="shared" si="24"/>
        <v>0</v>
      </c>
      <c r="K73" s="25" t="s">
        <v>59</v>
      </c>
      <c r="Z73" s="24">
        <f t="shared" si="25"/>
        <v>0</v>
      </c>
      <c r="AB73" s="24">
        <f t="shared" si="26"/>
        <v>0</v>
      </c>
      <c r="AC73" s="24">
        <f t="shared" si="27"/>
        <v>0</v>
      </c>
      <c r="AD73" s="24">
        <f t="shared" si="28"/>
        <v>0</v>
      </c>
      <c r="AE73" s="24">
        <f t="shared" si="29"/>
        <v>0</v>
      </c>
      <c r="AF73" s="24">
        <f t="shared" si="30"/>
        <v>0</v>
      </c>
      <c r="AG73" s="24">
        <f t="shared" si="31"/>
        <v>0</v>
      </c>
      <c r="AH73" s="24">
        <f t="shared" si="32"/>
        <v>0</v>
      </c>
      <c r="AI73" s="10" t="s">
        <v>52</v>
      </c>
      <c r="AJ73" s="24">
        <f t="shared" si="33"/>
        <v>0</v>
      </c>
      <c r="AK73" s="24">
        <f t="shared" si="34"/>
        <v>0</v>
      </c>
      <c r="AL73" s="24">
        <f t="shared" si="35"/>
        <v>0</v>
      </c>
      <c r="AN73" s="24">
        <v>21</v>
      </c>
      <c r="AO73" s="24">
        <f t="shared" si="36"/>
        <v>0</v>
      </c>
      <c r="AP73" s="24">
        <f t="shared" si="37"/>
        <v>0</v>
      </c>
      <c r="AQ73" s="26" t="s">
        <v>231</v>
      </c>
      <c r="AV73" s="24">
        <f t="shared" si="38"/>
        <v>0</v>
      </c>
      <c r="AW73" s="24">
        <f t="shared" si="39"/>
        <v>0</v>
      </c>
      <c r="AX73" s="24">
        <f t="shared" si="40"/>
        <v>0</v>
      </c>
      <c r="AY73" s="26" t="s">
        <v>232</v>
      </c>
      <c r="AZ73" s="26" t="s">
        <v>233</v>
      </c>
      <c r="BA73" s="10" t="s">
        <v>62</v>
      </c>
      <c r="BC73" s="24">
        <f t="shared" si="41"/>
        <v>0</v>
      </c>
      <c r="BD73" s="24">
        <f t="shared" si="42"/>
        <v>0</v>
      </c>
      <c r="BE73" s="24">
        <v>0</v>
      </c>
      <c r="BF73" s="24">
        <f>73</f>
        <v>73</v>
      </c>
      <c r="BH73" s="24">
        <f t="shared" si="43"/>
        <v>0</v>
      </c>
      <c r="BI73" s="24">
        <f t="shared" si="44"/>
        <v>0</v>
      </c>
      <c r="BJ73" s="24">
        <f t="shared" si="45"/>
        <v>0</v>
      </c>
      <c r="BK73" s="24"/>
      <c r="BL73" s="24"/>
      <c r="BW73" s="24">
        <v>21</v>
      </c>
      <c r="BX73" s="4" t="s">
        <v>245</v>
      </c>
    </row>
    <row r="74" spans="1:76" x14ac:dyDescent="0.25">
      <c r="A74" s="2" t="s">
        <v>246</v>
      </c>
      <c r="B74" s="3" t="s">
        <v>247</v>
      </c>
      <c r="C74" s="68" t="s">
        <v>248</v>
      </c>
      <c r="D74" s="63"/>
      <c r="E74" s="3" t="s">
        <v>103</v>
      </c>
      <c r="F74" s="24">
        <v>5</v>
      </c>
      <c r="G74" s="24">
        <v>0</v>
      </c>
      <c r="H74" s="24">
        <f t="shared" si="22"/>
        <v>0</v>
      </c>
      <c r="I74" s="24">
        <f t="shared" si="23"/>
        <v>0</v>
      </c>
      <c r="J74" s="24">
        <f t="shared" si="24"/>
        <v>0</v>
      </c>
      <c r="K74" s="25" t="s">
        <v>59</v>
      </c>
      <c r="Z74" s="24">
        <f t="shared" si="25"/>
        <v>0</v>
      </c>
      <c r="AB74" s="24">
        <f t="shared" si="26"/>
        <v>0</v>
      </c>
      <c r="AC74" s="24">
        <f t="shared" si="27"/>
        <v>0</v>
      </c>
      <c r="AD74" s="24">
        <f t="shared" si="28"/>
        <v>0</v>
      </c>
      <c r="AE74" s="24">
        <f t="shared" si="29"/>
        <v>0</v>
      </c>
      <c r="AF74" s="24">
        <f t="shared" si="30"/>
        <v>0</v>
      </c>
      <c r="AG74" s="24">
        <f t="shared" si="31"/>
        <v>0</v>
      </c>
      <c r="AH74" s="24">
        <f t="shared" si="32"/>
        <v>0</v>
      </c>
      <c r="AI74" s="10" t="s">
        <v>52</v>
      </c>
      <c r="AJ74" s="24">
        <f t="shared" si="33"/>
        <v>0</v>
      </c>
      <c r="AK74" s="24">
        <f t="shared" si="34"/>
        <v>0</v>
      </c>
      <c r="AL74" s="24">
        <f t="shared" si="35"/>
        <v>0</v>
      </c>
      <c r="AN74" s="24">
        <v>21</v>
      </c>
      <c r="AO74" s="24">
        <f t="shared" si="36"/>
        <v>0</v>
      </c>
      <c r="AP74" s="24">
        <f t="shared" si="37"/>
        <v>0</v>
      </c>
      <c r="AQ74" s="26" t="s">
        <v>231</v>
      </c>
      <c r="AV74" s="24">
        <f t="shared" si="38"/>
        <v>0</v>
      </c>
      <c r="AW74" s="24">
        <f t="shared" si="39"/>
        <v>0</v>
      </c>
      <c r="AX74" s="24">
        <f t="shared" si="40"/>
        <v>0</v>
      </c>
      <c r="AY74" s="26" t="s">
        <v>232</v>
      </c>
      <c r="AZ74" s="26" t="s">
        <v>233</v>
      </c>
      <c r="BA74" s="10" t="s">
        <v>62</v>
      </c>
      <c r="BC74" s="24">
        <f t="shared" si="41"/>
        <v>0</v>
      </c>
      <c r="BD74" s="24">
        <f t="shared" si="42"/>
        <v>0</v>
      </c>
      <c r="BE74" s="24">
        <v>0</v>
      </c>
      <c r="BF74" s="24">
        <f>74</f>
        <v>74</v>
      </c>
      <c r="BH74" s="24">
        <f t="shared" si="43"/>
        <v>0</v>
      </c>
      <c r="BI74" s="24">
        <f t="shared" si="44"/>
        <v>0</v>
      </c>
      <c r="BJ74" s="24">
        <f t="shared" si="45"/>
        <v>0</v>
      </c>
      <c r="BK74" s="24"/>
      <c r="BL74" s="24"/>
      <c r="BW74" s="24">
        <v>21</v>
      </c>
      <c r="BX74" s="4" t="s">
        <v>248</v>
      </c>
    </row>
    <row r="75" spans="1:76" x14ac:dyDescent="0.25">
      <c r="A75" s="2" t="s">
        <v>249</v>
      </c>
      <c r="B75" s="3" t="s">
        <v>250</v>
      </c>
      <c r="C75" s="68" t="s">
        <v>251</v>
      </c>
      <c r="D75" s="63"/>
      <c r="E75" s="3" t="s">
        <v>58</v>
      </c>
      <c r="F75" s="24">
        <v>5</v>
      </c>
      <c r="G75" s="24">
        <v>0</v>
      </c>
      <c r="H75" s="24">
        <f t="shared" si="22"/>
        <v>0</v>
      </c>
      <c r="I75" s="24">
        <f t="shared" si="23"/>
        <v>0</v>
      </c>
      <c r="J75" s="24">
        <f t="shared" si="24"/>
        <v>0</v>
      </c>
      <c r="K75" s="25" t="s">
        <v>59</v>
      </c>
      <c r="Z75" s="24">
        <f t="shared" si="25"/>
        <v>0</v>
      </c>
      <c r="AB75" s="24">
        <f t="shared" si="26"/>
        <v>0</v>
      </c>
      <c r="AC75" s="24">
        <f t="shared" si="27"/>
        <v>0</v>
      </c>
      <c r="AD75" s="24">
        <f t="shared" si="28"/>
        <v>0</v>
      </c>
      <c r="AE75" s="24">
        <f t="shared" si="29"/>
        <v>0</v>
      </c>
      <c r="AF75" s="24">
        <f t="shared" si="30"/>
        <v>0</v>
      </c>
      <c r="AG75" s="24">
        <f t="shared" si="31"/>
        <v>0</v>
      </c>
      <c r="AH75" s="24">
        <f t="shared" si="32"/>
        <v>0</v>
      </c>
      <c r="AI75" s="10" t="s">
        <v>52</v>
      </c>
      <c r="AJ75" s="24">
        <f t="shared" si="33"/>
        <v>0</v>
      </c>
      <c r="AK75" s="24">
        <f t="shared" si="34"/>
        <v>0</v>
      </c>
      <c r="AL75" s="24">
        <f t="shared" si="35"/>
        <v>0</v>
      </c>
      <c r="AN75" s="24">
        <v>21</v>
      </c>
      <c r="AO75" s="24">
        <f t="shared" si="36"/>
        <v>0</v>
      </c>
      <c r="AP75" s="24">
        <f t="shared" si="37"/>
        <v>0</v>
      </c>
      <c r="AQ75" s="26" t="s">
        <v>231</v>
      </c>
      <c r="AV75" s="24">
        <f t="shared" si="38"/>
        <v>0</v>
      </c>
      <c r="AW75" s="24">
        <f t="shared" si="39"/>
        <v>0</v>
      </c>
      <c r="AX75" s="24">
        <f t="shared" si="40"/>
        <v>0</v>
      </c>
      <c r="AY75" s="26" t="s">
        <v>232</v>
      </c>
      <c r="AZ75" s="26" t="s">
        <v>233</v>
      </c>
      <c r="BA75" s="10" t="s">
        <v>62</v>
      </c>
      <c r="BC75" s="24">
        <f t="shared" si="41"/>
        <v>0</v>
      </c>
      <c r="BD75" s="24">
        <f t="shared" si="42"/>
        <v>0</v>
      </c>
      <c r="BE75" s="24">
        <v>0</v>
      </c>
      <c r="BF75" s="24">
        <f>75</f>
        <v>75</v>
      </c>
      <c r="BH75" s="24">
        <f t="shared" si="43"/>
        <v>0</v>
      </c>
      <c r="BI75" s="24">
        <f t="shared" si="44"/>
        <v>0</v>
      </c>
      <c r="BJ75" s="24">
        <f t="shared" si="45"/>
        <v>0</v>
      </c>
      <c r="BK75" s="24"/>
      <c r="BL75" s="24"/>
      <c r="BW75" s="24">
        <v>21</v>
      </c>
      <c r="BX75" s="4" t="s">
        <v>251</v>
      </c>
    </row>
    <row r="76" spans="1:76" x14ac:dyDescent="0.25">
      <c r="A76" s="2" t="s">
        <v>252</v>
      </c>
      <c r="B76" s="3" t="s">
        <v>253</v>
      </c>
      <c r="C76" s="68" t="s">
        <v>254</v>
      </c>
      <c r="D76" s="63"/>
      <c r="E76" s="3" t="s">
        <v>103</v>
      </c>
      <c r="F76" s="24">
        <v>85</v>
      </c>
      <c r="G76" s="24">
        <v>0</v>
      </c>
      <c r="H76" s="24">
        <f t="shared" si="22"/>
        <v>0</v>
      </c>
      <c r="I76" s="24">
        <f t="shared" si="23"/>
        <v>0</v>
      </c>
      <c r="J76" s="24">
        <f t="shared" si="24"/>
        <v>0</v>
      </c>
      <c r="K76" s="25" t="s">
        <v>59</v>
      </c>
      <c r="Z76" s="24">
        <f t="shared" si="25"/>
        <v>0</v>
      </c>
      <c r="AB76" s="24">
        <f t="shared" si="26"/>
        <v>0</v>
      </c>
      <c r="AC76" s="24">
        <f t="shared" si="27"/>
        <v>0</v>
      </c>
      <c r="AD76" s="24">
        <f t="shared" si="28"/>
        <v>0</v>
      </c>
      <c r="AE76" s="24">
        <f t="shared" si="29"/>
        <v>0</v>
      </c>
      <c r="AF76" s="24">
        <f t="shared" si="30"/>
        <v>0</v>
      </c>
      <c r="AG76" s="24">
        <f t="shared" si="31"/>
        <v>0</v>
      </c>
      <c r="AH76" s="24">
        <f t="shared" si="32"/>
        <v>0</v>
      </c>
      <c r="AI76" s="10" t="s">
        <v>52</v>
      </c>
      <c r="AJ76" s="24">
        <f t="shared" si="33"/>
        <v>0</v>
      </c>
      <c r="AK76" s="24">
        <f t="shared" si="34"/>
        <v>0</v>
      </c>
      <c r="AL76" s="24">
        <f t="shared" si="35"/>
        <v>0</v>
      </c>
      <c r="AN76" s="24">
        <v>21</v>
      </c>
      <c r="AO76" s="24">
        <f t="shared" si="36"/>
        <v>0</v>
      </c>
      <c r="AP76" s="24">
        <f t="shared" si="37"/>
        <v>0</v>
      </c>
      <c r="AQ76" s="26" t="s">
        <v>231</v>
      </c>
      <c r="AV76" s="24">
        <f t="shared" si="38"/>
        <v>0</v>
      </c>
      <c r="AW76" s="24">
        <f t="shared" si="39"/>
        <v>0</v>
      </c>
      <c r="AX76" s="24">
        <f t="shared" si="40"/>
        <v>0</v>
      </c>
      <c r="AY76" s="26" t="s">
        <v>232</v>
      </c>
      <c r="AZ76" s="26" t="s">
        <v>233</v>
      </c>
      <c r="BA76" s="10" t="s">
        <v>62</v>
      </c>
      <c r="BC76" s="24">
        <f t="shared" si="41"/>
        <v>0</v>
      </c>
      <c r="BD76" s="24">
        <f t="shared" si="42"/>
        <v>0</v>
      </c>
      <c r="BE76" s="24">
        <v>0</v>
      </c>
      <c r="BF76" s="24">
        <f>76</f>
        <v>76</v>
      </c>
      <c r="BH76" s="24">
        <f t="shared" si="43"/>
        <v>0</v>
      </c>
      <c r="BI76" s="24">
        <f t="shared" si="44"/>
        <v>0</v>
      </c>
      <c r="BJ76" s="24">
        <f t="shared" si="45"/>
        <v>0</v>
      </c>
      <c r="BK76" s="24"/>
      <c r="BL76" s="24"/>
      <c r="BW76" s="24">
        <v>21</v>
      </c>
      <c r="BX76" s="4" t="s">
        <v>254</v>
      </c>
    </row>
    <row r="77" spans="1:76" x14ac:dyDescent="0.25">
      <c r="A77" s="2" t="s">
        <v>255</v>
      </c>
      <c r="B77" s="3" t="s">
        <v>256</v>
      </c>
      <c r="C77" s="68" t="s">
        <v>257</v>
      </c>
      <c r="D77" s="63"/>
      <c r="E77" s="3" t="s">
        <v>103</v>
      </c>
      <c r="F77" s="24">
        <v>10</v>
      </c>
      <c r="G77" s="24">
        <v>0</v>
      </c>
      <c r="H77" s="24">
        <f t="shared" si="22"/>
        <v>0</v>
      </c>
      <c r="I77" s="24">
        <f t="shared" si="23"/>
        <v>0</v>
      </c>
      <c r="J77" s="24">
        <f t="shared" si="24"/>
        <v>0</v>
      </c>
      <c r="K77" s="25" t="s">
        <v>59</v>
      </c>
      <c r="Z77" s="24">
        <f t="shared" si="25"/>
        <v>0</v>
      </c>
      <c r="AB77" s="24">
        <f t="shared" si="26"/>
        <v>0</v>
      </c>
      <c r="AC77" s="24">
        <f t="shared" si="27"/>
        <v>0</v>
      </c>
      <c r="AD77" s="24">
        <f t="shared" si="28"/>
        <v>0</v>
      </c>
      <c r="AE77" s="24">
        <f t="shared" si="29"/>
        <v>0</v>
      </c>
      <c r="AF77" s="24">
        <f t="shared" si="30"/>
        <v>0</v>
      </c>
      <c r="AG77" s="24">
        <f t="shared" si="31"/>
        <v>0</v>
      </c>
      <c r="AH77" s="24">
        <f t="shared" si="32"/>
        <v>0</v>
      </c>
      <c r="AI77" s="10" t="s">
        <v>52</v>
      </c>
      <c r="AJ77" s="24">
        <f t="shared" si="33"/>
        <v>0</v>
      </c>
      <c r="AK77" s="24">
        <f t="shared" si="34"/>
        <v>0</v>
      </c>
      <c r="AL77" s="24">
        <f t="shared" si="35"/>
        <v>0</v>
      </c>
      <c r="AN77" s="24">
        <v>21</v>
      </c>
      <c r="AO77" s="24">
        <f t="shared" si="36"/>
        <v>0</v>
      </c>
      <c r="AP77" s="24">
        <f t="shared" si="37"/>
        <v>0</v>
      </c>
      <c r="AQ77" s="26" t="s">
        <v>231</v>
      </c>
      <c r="AV77" s="24">
        <f t="shared" si="38"/>
        <v>0</v>
      </c>
      <c r="AW77" s="24">
        <f t="shared" si="39"/>
        <v>0</v>
      </c>
      <c r="AX77" s="24">
        <f t="shared" si="40"/>
        <v>0</v>
      </c>
      <c r="AY77" s="26" t="s">
        <v>232</v>
      </c>
      <c r="AZ77" s="26" t="s">
        <v>233</v>
      </c>
      <c r="BA77" s="10" t="s">
        <v>62</v>
      </c>
      <c r="BC77" s="24">
        <f t="shared" si="41"/>
        <v>0</v>
      </c>
      <c r="BD77" s="24">
        <f t="shared" si="42"/>
        <v>0</v>
      </c>
      <c r="BE77" s="24">
        <v>0</v>
      </c>
      <c r="BF77" s="24">
        <f>77</f>
        <v>77</v>
      </c>
      <c r="BH77" s="24">
        <f t="shared" si="43"/>
        <v>0</v>
      </c>
      <c r="BI77" s="24">
        <f t="shared" si="44"/>
        <v>0</v>
      </c>
      <c r="BJ77" s="24">
        <f t="shared" si="45"/>
        <v>0</v>
      </c>
      <c r="BK77" s="24"/>
      <c r="BL77" s="24"/>
      <c r="BW77" s="24">
        <v>21</v>
      </c>
      <c r="BX77" s="4" t="s">
        <v>257</v>
      </c>
    </row>
    <row r="78" spans="1:76" x14ac:dyDescent="0.25">
      <c r="A78" s="2" t="s">
        <v>258</v>
      </c>
      <c r="B78" s="3" t="s">
        <v>259</v>
      </c>
      <c r="C78" s="68" t="s">
        <v>260</v>
      </c>
      <c r="D78" s="63"/>
      <c r="E78" s="3" t="s">
        <v>175</v>
      </c>
      <c r="F78" s="24">
        <v>9</v>
      </c>
      <c r="G78" s="24">
        <v>0</v>
      </c>
      <c r="H78" s="24">
        <f t="shared" si="22"/>
        <v>0</v>
      </c>
      <c r="I78" s="24">
        <f t="shared" si="23"/>
        <v>0</v>
      </c>
      <c r="J78" s="24">
        <f t="shared" si="24"/>
        <v>0</v>
      </c>
      <c r="K78" s="25" t="s">
        <v>59</v>
      </c>
      <c r="Z78" s="24">
        <f t="shared" si="25"/>
        <v>0</v>
      </c>
      <c r="AB78" s="24">
        <f t="shared" si="26"/>
        <v>0</v>
      </c>
      <c r="AC78" s="24">
        <f t="shared" si="27"/>
        <v>0</v>
      </c>
      <c r="AD78" s="24">
        <f t="shared" si="28"/>
        <v>0</v>
      </c>
      <c r="AE78" s="24">
        <f t="shared" si="29"/>
        <v>0</v>
      </c>
      <c r="AF78" s="24">
        <f t="shared" si="30"/>
        <v>0</v>
      </c>
      <c r="AG78" s="24">
        <f t="shared" si="31"/>
        <v>0</v>
      </c>
      <c r="AH78" s="24">
        <f t="shared" si="32"/>
        <v>0</v>
      </c>
      <c r="AI78" s="10" t="s">
        <v>52</v>
      </c>
      <c r="AJ78" s="24">
        <f t="shared" si="33"/>
        <v>0</v>
      </c>
      <c r="AK78" s="24">
        <f t="shared" si="34"/>
        <v>0</v>
      </c>
      <c r="AL78" s="24">
        <f t="shared" si="35"/>
        <v>0</v>
      </c>
      <c r="AN78" s="24">
        <v>21</v>
      </c>
      <c r="AO78" s="24">
        <f t="shared" si="36"/>
        <v>0</v>
      </c>
      <c r="AP78" s="24">
        <f t="shared" si="37"/>
        <v>0</v>
      </c>
      <c r="AQ78" s="26" t="s">
        <v>231</v>
      </c>
      <c r="AV78" s="24">
        <f t="shared" si="38"/>
        <v>0</v>
      </c>
      <c r="AW78" s="24">
        <f t="shared" si="39"/>
        <v>0</v>
      </c>
      <c r="AX78" s="24">
        <f t="shared" si="40"/>
        <v>0</v>
      </c>
      <c r="AY78" s="26" t="s">
        <v>232</v>
      </c>
      <c r="AZ78" s="26" t="s">
        <v>233</v>
      </c>
      <c r="BA78" s="10" t="s">
        <v>62</v>
      </c>
      <c r="BC78" s="24">
        <f t="shared" si="41"/>
        <v>0</v>
      </c>
      <c r="BD78" s="24">
        <f t="shared" si="42"/>
        <v>0</v>
      </c>
      <c r="BE78" s="24">
        <v>0</v>
      </c>
      <c r="BF78" s="24">
        <f>78</f>
        <v>78</v>
      </c>
      <c r="BH78" s="24">
        <f t="shared" si="43"/>
        <v>0</v>
      </c>
      <c r="BI78" s="24">
        <f t="shared" si="44"/>
        <v>0</v>
      </c>
      <c r="BJ78" s="24">
        <f t="shared" si="45"/>
        <v>0</v>
      </c>
      <c r="BK78" s="24"/>
      <c r="BL78" s="24"/>
      <c r="BW78" s="24">
        <v>21</v>
      </c>
      <c r="BX78" s="4" t="s">
        <v>260</v>
      </c>
    </row>
    <row r="79" spans="1:76" x14ac:dyDescent="0.25">
      <c r="A79" s="2" t="s">
        <v>261</v>
      </c>
      <c r="B79" s="3" t="s">
        <v>262</v>
      </c>
      <c r="C79" s="68" t="s">
        <v>263</v>
      </c>
      <c r="D79" s="63"/>
      <c r="E79" s="3" t="s">
        <v>58</v>
      </c>
      <c r="F79" s="24">
        <v>195</v>
      </c>
      <c r="G79" s="24">
        <v>0</v>
      </c>
      <c r="H79" s="24">
        <f t="shared" si="22"/>
        <v>0</v>
      </c>
      <c r="I79" s="24">
        <f t="shared" si="23"/>
        <v>0</v>
      </c>
      <c r="J79" s="24">
        <f t="shared" si="24"/>
        <v>0</v>
      </c>
      <c r="K79" s="25" t="s">
        <v>59</v>
      </c>
      <c r="Z79" s="24">
        <f t="shared" si="25"/>
        <v>0</v>
      </c>
      <c r="AB79" s="24">
        <f t="shared" si="26"/>
        <v>0</v>
      </c>
      <c r="AC79" s="24">
        <f t="shared" si="27"/>
        <v>0</v>
      </c>
      <c r="AD79" s="24">
        <f t="shared" si="28"/>
        <v>0</v>
      </c>
      <c r="AE79" s="24">
        <f t="shared" si="29"/>
        <v>0</v>
      </c>
      <c r="AF79" s="24">
        <f t="shared" si="30"/>
        <v>0</v>
      </c>
      <c r="AG79" s="24">
        <f t="shared" si="31"/>
        <v>0</v>
      </c>
      <c r="AH79" s="24">
        <f t="shared" si="32"/>
        <v>0</v>
      </c>
      <c r="AI79" s="10" t="s">
        <v>52</v>
      </c>
      <c r="AJ79" s="24">
        <f t="shared" si="33"/>
        <v>0</v>
      </c>
      <c r="AK79" s="24">
        <f t="shared" si="34"/>
        <v>0</v>
      </c>
      <c r="AL79" s="24">
        <f t="shared" si="35"/>
        <v>0</v>
      </c>
      <c r="AN79" s="24">
        <v>21</v>
      </c>
      <c r="AO79" s="24">
        <f t="shared" si="36"/>
        <v>0</v>
      </c>
      <c r="AP79" s="24">
        <f t="shared" si="37"/>
        <v>0</v>
      </c>
      <c r="AQ79" s="26" t="s">
        <v>231</v>
      </c>
      <c r="AV79" s="24">
        <f t="shared" si="38"/>
        <v>0</v>
      </c>
      <c r="AW79" s="24">
        <f t="shared" si="39"/>
        <v>0</v>
      </c>
      <c r="AX79" s="24">
        <f t="shared" si="40"/>
        <v>0</v>
      </c>
      <c r="AY79" s="26" t="s">
        <v>232</v>
      </c>
      <c r="AZ79" s="26" t="s">
        <v>233</v>
      </c>
      <c r="BA79" s="10" t="s">
        <v>62</v>
      </c>
      <c r="BC79" s="24">
        <f t="shared" si="41"/>
        <v>0</v>
      </c>
      <c r="BD79" s="24">
        <f t="shared" si="42"/>
        <v>0</v>
      </c>
      <c r="BE79" s="24">
        <v>0</v>
      </c>
      <c r="BF79" s="24">
        <f>79</f>
        <v>79</v>
      </c>
      <c r="BH79" s="24">
        <f t="shared" si="43"/>
        <v>0</v>
      </c>
      <c r="BI79" s="24">
        <f t="shared" si="44"/>
        <v>0</v>
      </c>
      <c r="BJ79" s="24">
        <f t="shared" si="45"/>
        <v>0</v>
      </c>
      <c r="BK79" s="24"/>
      <c r="BL79" s="24"/>
      <c r="BW79" s="24">
        <v>21</v>
      </c>
      <c r="BX79" s="4" t="s">
        <v>263</v>
      </c>
    </row>
    <row r="80" spans="1:76" x14ac:dyDescent="0.25">
      <c r="A80" s="2" t="s">
        <v>264</v>
      </c>
      <c r="B80" s="3" t="s">
        <v>265</v>
      </c>
      <c r="C80" s="68" t="s">
        <v>266</v>
      </c>
      <c r="D80" s="63"/>
      <c r="E80" s="3" t="s">
        <v>103</v>
      </c>
      <c r="F80" s="24">
        <v>8</v>
      </c>
      <c r="G80" s="24">
        <v>0</v>
      </c>
      <c r="H80" s="24">
        <f t="shared" si="22"/>
        <v>0</v>
      </c>
      <c r="I80" s="24">
        <f t="shared" si="23"/>
        <v>0</v>
      </c>
      <c r="J80" s="24">
        <f t="shared" si="24"/>
        <v>0</v>
      </c>
      <c r="K80" s="25" t="s">
        <v>59</v>
      </c>
      <c r="Z80" s="24">
        <f t="shared" si="25"/>
        <v>0</v>
      </c>
      <c r="AB80" s="24">
        <f t="shared" si="26"/>
        <v>0</v>
      </c>
      <c r="AC80" s="24">
        <f t="shared" si="27"/>
        <v>0</v>
      </c>
      <c r="AD80" s="24">
        <f t="shared" si="28"/>
        <v>0</v>
      </c>
      <c r="AE80" s="24">
        <f t="shared" si="29"/>
        <v>0</v>
      </c>
      <c r="AF80" s="24">
        <f t="shared" si="30"/>
        <v>0</v>
      </c>
      <c r="AG80" s="24">
        <f t="shared" si="31"/>
        <v>0</v>
      </c>
      <c r="AH80" s="24">
        <f t="shared" si="32"/>
        <v>0</v>
      </c>
      <c r="AI80" s="10" t="s">
        <v>52</v>
      </c>
      <c r="AJ80" s="24">
        <f t="shared" si="33"/>
        <v>0</v>
      </c>
      <c r="AK80" s="24">
        <f t="shared" si="34"/>
        <v>0</v>
      </c>
      <c r="AL80" s="24">
        <f t="shared" si="35"/>
        <v>0</v>
      </c>
      <c r="AN80" s="24">
        <v>21</v>
      </c>
      <c r="AO80" s="24">
        <f t="shared" si="36"/>
        <v>0</v>
      </c>
      <c r="AP80" s="24">
        <f t="shared" si="37"/>
        <v>0</v>
      </c>
      <c r="AQ80" s="26" t="s">
        <v>231</v>
      </c>
      <c r="AV80" s="24">
        <f t="shared" si="38"/>
        <v>0</v>
      </c>
      <c r="AW80" s="24">
        <f t="shared" si="39"/>
        <v>0</v>
      </c>
      <c r="AX80" s="24">
        <f t="shared" si="40"/>
        <v>0</v>
      </c>
      <c r="AY80" s="26" t="s">
        <v>232</v>
      </c>
      <c r="AZ80" s="26" t="s">
        <v>233</v>
      </c>
      <c r="BA80" s="10" t="s">
        <v>62</v>
      </c>
      <c r="BC80" s="24">
        <f t="shared" si="41"/>
        <v>0</v>
      </c>
      <c r="BD80" s="24">
        <f t="shared" si="42"/>
        <v>0</v>
      </c>
      <c r="BE80" s="24">
        <v>0</v>
      </c>
      <c r="BF80" s="24">
        <f>80</f>
        <v>80</v>
      </c>
      <c r="BH80" s="24">
        <f t="shared" si="43"/>
        <v>0</v>
      </c>
      <c r="BI80" s="24">
        <f t="shared" si="44"/>
        <v>0</v>
      </c>
      <c r="BJ80" s="24">
        <f t="shared" si="45"/>
        <v>0</v>
      </c>
      <c r="BK80" s="24"/>
      <c r="BL80" s="24"/>
      <c r="BW80" s="24">
        <v>21</v>
      </c>
      <c r="BX80" s="4" t="s">
        <v>266</v>
      </c>
    </row>
    <row r="81" spans="1:76" ht="25.5" x14ac:dyDescent="0.25">
      <c r="A81" s="2" t="s">
        <v>267</v>
      </c>
      <c r="B81" s="3" t="s">
        <v>268</v>
      </c>
      <c r="C81" s="68" t="s">
        <v>269</v>
      </c>
      <c r="D81" s="63"/>
      <c r="E81" s="3" t="s">
        <v>103</v>
      </c>
      <c r="F81" s="24">
        <v>155</v>
      </c>
      <c r="G81" s="24">
        <v>0</v>
      </c>
      <c r="H81" s="24">
        <f t="shared" si="22"/>
        <v>0</v>
      </c>
      <c r="I81" s="24">
        <f t="shared" si="23"/>
        <v>0</v>
      </c>
      <c r="J81" s="24">
        <f t="shared" si="24"/>
        <v>0</v>
      </c>
      <c r="K81" s="25" t="s">
        <v>59</v>
      </c>
      <c r="Z81" s="24">
        <f t="shared" si="25"/>
        <v>0</v>
      </c>
      <c r="AB81" s="24">
        <f t="shared" si="26"/>
        <v>0</v>
      </c>
      <c r="AC81" s="24">
        <f t="shared" si="27"/>
        <v>0</v>
      </c>
      <c r="AD81" s="24">
        <f t="shared" si="28"/>
        <v>0</v>
      </c>
      <c r="AE81" s="24">
        <f t="shared" si="29"/>
        <v>0</v>
      </c>
      <c r="AF81" s="24">
        <f t="shared" si="30"/>
        <v>0</v>
      </c>
      <c r="AG81" s="24">
        <f t="shared" si="31"/>
        <v>0</v>
      </c>
      <c r="AH81" s="24">
        <f t="shared" si="32"/>
        <v>0</v>
      </c>
      <c r="AI81" s="10" t="s">
        <v>52</v>
      </c>
      <c r="AJ81" s="24">
        <f t="shared" si="33"/>
        <v>0</v>
      </c>
      <c r="AK81" s="24">
        <f t="shared" si="34"/>
        <v>0</v>
      </c>
      <c r="AL81" s="24">
        <f t="shared" si="35"/>
        <v>0</v>
      </c>
      <c r="AN81" s="24">
        <v>21</v>
      </c>
      <c r="AO81" s="24">
        <f t="shared" si="36"/>
        <v>0</v>
      </c>
      <c r="AP81" s="24">
        <f t="shared" si="37"/>
        <v>0</v>
      </c>
      <c r="AQ81" s="26" t="s">
        <v>231</v>
      </c>
      <c r="AV81" s="24">
        <f t="shared" si="38"/>
        <v>0</v>
      </c>
      <c r="AW81" s="24">
        <f t="shared" si="39"/>
        <v>0</v>
      </c>
      <c r="AX81" s="24">
        <f t="shared" si="40"/>
        <v>0</v>
      </c>
      <c r="AY81" s="26" t="s">
        <v>232</v>
      </c>
      <c r="AZ81" s="26" t="s">
        <v>233</v>
      </c>
      <c r="BA81" s="10" t="s">
        <v>62</v>
      </c>
      <c r="BC81" s="24">
        <f t="shared" si="41"/>
        <v>0</v>
      </c>
      <c r="BD81" s="24">
        <f t="shared" si="42"/>
        <v>0</v>
      </c>
      <c r="BE81" s="24">
        <v>0</v>
      </c>
      <c r="BF81" s="24">
        <f>81</f>
        <v>81</v>
      </c>
      <c r="BH81" s="24">
        <f t="shared" si="43"/>
        <v>0</v>
      </c>
      <c r="BI81" s="24">
        <f t="shared" si="44"/>
        <v>0</v>
      </c>
      <c r="BJ81" s="24">
        <f t="shared" si="45"/>
        <v>0</v>
      </c>
      <c r="BK81" s="24"/>
      <c r="BL81" s="24"/>
      <c r="BW81" s="24">
        <v>21</v>
      </c>
      <c r="BX81" s="4" t="s">
        <v>269</v>
      </c>
    </row>
    <row r="82" spans="1:76" x14ac:dyDescent="0.25">
      <c r="A82" s="2" t="s">
        <v>104</v>
      </c>
      <c r="B82" s="3" t="s">
        <v>270</v>
      </c>
      <c r="C82" s="68" t="s">
        <v>271</v>
      </c>
      <c r="D82" s="63"/>
      <c r="E82" s="3" t="s">
        <v>103</v>
      </c>
      <c r="F82" s="24">
        <v>5</v>
      </c>
      <c r="G82" s="24">
        <v>0</v>
      </c>
      <c r="H82" s="24">
        <f t="shared" si="22"/>
        <v>0</v>
      </c>
      <c r="I82" s="24">
        <f t="shared" si="23"/>
        <v>0</v>
      </c>
      <c r="J82" s="24">
        <f t="shared" si="24"/>
        <v>0</v>
      </c>
      <c r="K82" s="25" t="s">
        <v>59</v>
      </c>
      <c r="Z82" s="24">
        <f t="shared" si="25"/>
        <v>0</v>
      </c>
      <c r="AB82" s="24">
        <f t="shared" si="26"/>
        <v>0</v>
      </c>
      <c r="AC82" s="24">
        <f t="shared" si="27"/>
        <v>0</v>
      </c>
      <c r="AD82" s="24">
        <f t="shared" si="28"/>
        <v>0</v>
      </c>
      <c r="AE82" s="24">
        <f t="shared" si="29"/>
        <v>0</v>
      </c>
      <c r="AF82" s="24">
        <f t="shared" si="30"/>
        <v>0</v>
      </c>
      <c r="AG82" s="24">
        <f t="shared" si="31"/>
        <v>0</v>
      </c>
      <c r="AH82" s="24">
        <f t="shared" si="32"/>
        <v>0</v>
      </c>
      <c r="AI82" s="10" t="s">
        <v>52</v>
      </c>
      <c r="AJ82" s="24">
        <f t="shared" si="33"/>
        <v>0</v>
      </c>
      <c r="AK82" s="24">
        <f t="shared" si="34"/>
        <v>0</v>
      </c>
      <c r="AL82" s="24">
        <f t="shared" si="35"/>
        <v>0</v>
      </c>
      <c r="AN82" s="24">
        <v>21</v>
      </c>
      <c r="AO82" s="24">
        <f t="shared" si="36"/>
        <v>0</v>
      </c>
      <c r="AP82" s="24">
        <f t="shared" si="37"/>
        <v>0</v>
      </c>
      <c r="AQ82" s="26" t="s">
        <v>231</v>
      </c>
      <c r="AV82" s="24">
        <f t="shared" si="38"/>
        <v>0</v>
      </c>
      <c r="AW82" s="24">
        <f t="shared" si="39"/>
        <v>0</v>
      </c>
      <c r="AX82" s="24">
        <f t="shared" si="40"/>
        <v>0</v>
      </c>
      <c r="AY82" s="26" t="s">
        <v>232</v>
      </c>
      <c r="AZ82" s="26" t="s">
        <v>233</v>
      </c>
      <c r="BA82" s="10" t="s">
        <v>62</v>
      </c>
      <c r="BC82" s="24">
        <f t="shared" si="41"/>
        <v>0</v>
      </c>
      <c r="BD82" s="24">
        <f t="shared" si="42"/>
        <v>0</v>
      </c>
      <c r="BE82" s="24">
        <v>0</v>
      </c>
      <c r="BF82" s="24">
        <f>82</f>
        <v>82</v>
      </c>
      <c r="BH82" s="24">
        <f t="shared" si="43"/>
        <v>0</v>
      </c>
      <c r="BI82" s="24">
        <f t="shared" si="44"/>
        <v>0</v>
      </c>
      <c r="BJ82" s="24">
        <f t="shared" si="45"/>
        <v>0</v>
      </c>
      <c r="BK82" s="24"/>
      <c r="BL82" s="24"/>
      <c r="BW82" s="24">
        <v>21</v>
      </c>
      <c r="BX82" s="4" t="s">
        <v>271</v>
      </c>
    </row>
    <row r="83" spans="1:76" x14ac:dyDescent="0.25">
      <c r="A83" s="27" t="s">
        <v>52</v>
      </c>
      <c r="B83" s="28" t="s">
        <v>272</v>
      </c>
      <c r="C83" s="84" t="s">
        <v>273</v>
      </c>
      <c r="D83" s="85"/>
      <c r="E83" s="29" t="s">
        <v>19</v>
      </c>
      <c r="F83" s="29" t="s">
        <v>19</v>
      </c>
      <c r="G83" s="29" t="s">
        <v>19</v>
      </c>
      <c r="H83" s="1">
        <f>H84+H88+H90+H92</f>
        <v>0</v>
      </c>
      <c r="I83" s="1">
        <f>I84+I88+I90+I92</f>
        <v>0</v>
      </c>
      <c r="J83" s="1">
        <f>J84+J88+J90+J92</f>
        <v>0</v>
      </c>
      <c r="K83" s="30" t="s">
        <v>52</v>
      </c>
      <c r="AI83" s="10" t="s">
        <v>52</v>
      </c>
    </row>
    <row r="84" spans="1:76" x14ac:dyDescent="0.25">
      <c r="A84" s="27" t="s">
        <v>52</v>
      </c>
      <c r="B84" s="28" t="s">
        <v>274</v>
      </c>
      <c r="C84" s="84" t="s">
        <v>275</v>
      </c>
      <c r="D84" s="85"/>
      <c r="E84" s="29" t="s">
        <v>19</v>
      </c>
      <c r="F84" s="29" t="s">
        <v>19</v>
      </c>
      <c r="G84" s="29" t="s">
        <v>19</v>
      </c>
      <c r="H84" s="1">
        <f>SUM(H85:H87)</f>
        <v>0</v>
      </c>
      <c r="I84" s="1">
        <f>SUM(I85:I87)</f>
        <v>0</v>
      </c>
      <c r="J84" s="1">
        <f>SUM(J85:J87)</f>
        <v>0</v>
      </c>
      <c r="K84" s="30" t="s">
        <v>52</v>
      </c>
      <c r="AI84" s="10" t="s">
        <v>52</v>
      </c>
      <c r="AS84" s="1">
        <f>SUM(AJ85:AJ87)</f>
        <v>0</v>
      </c>
      <c r="AT84" s="1">
        <f>SUM(AK85:AK87)</f>
        <v>0</v>
      </c>
      <c r="AU84" s="1">
        <f>SUM(AL85:AL87)</f>
        <v>0</v>
      </c>
    </row>
    <row r="85" spans="1:76" x14ac:dyDescent="0.25">
      <c r="A85" s="2" t="s">
        <v>276</v>
      </c>
      <c r="B85" s="3" t="s">
        <v>277</v>
      </c>
      <c r="C85" s="68" t="s">
        <v>278</v>
      </c>
      <c r="D85" s="63"/>
      <c r="E85" s="3" t="s">
        <v>279</v>
      </c>
      <c r="F85" s="24">
        <v>1</v>
      </c>
      <c r="G85" s="24">
        <v>0</v>
      </c>
      <c r="H85" s="24">
        <f>F85*AO85</f>
        <v>0</v>
      </c>
      <c r="I85" s="24">
        <f>F85*AP85</f>
        <v>0</v>
      </c>
      <c r="J85" s="24">
        <f>F85*G85</f>
        <v>0</v>
      </c>
      <c r="K85" s="25" t="s">
        <v>59</v>
      </c>
      <c r="Z85" s="24">
        <f>IF(AQ85="5",BJ85,0)</f>
        <v>0</v>
      </c>
      <c r="AB85" s="24">
        <f>IF(AQ85="1",BH85,0)</f>
        <v>0</v>
      </c>
      <c r="AC85" s="24">
        <f>IF(AQ85="1",BI85,0)</f>
        <v>0</v>
      </c>
      <c r="AD85" s="24">
        <f>IF(AQ85="7",BH85,0)</f>
        <v>0</v>
      </c>
      <c r="AE85" s="24">
        <f>IF(AQ85="7",BI85,0)</f>
        <v>0</v>
      </c>
      <c r="AF85" s="24">
        <f>IF(AQ85="2",BH85,0)</f>
        <v>0</v>
      </c>
      <c r="AG85" s="24">
        <f>IF(AQ85="2",BI85,0)</f>
        <v>0</v>
      </c>
      <c r="AH85" s="24">
        <f>IF(AQ85="0",BJ85,0)</f>
        <v>0</v>
      </c>
      <c r="AI85" s="10" t="s">
        <v>52</v>
      </c>
      <c r="AJ85" s="24">
        <f>IF(AN85=0,J85,0)</f>
        <v>0</v>
      </c>
      <c r="AK85" s="24">
        <f>IF(AN85=12,J85,0)</f>
        <v>0</v>
      </c>
      <c r="AL85" s="24">
        <f>IF(AN85=21,J85,0)</f>
        <v>0</v>
      </c>
      <c r="AN85" s="24">
        <v>21</v>
      </c>
      <c r="AO85" s="24">
        <f>G85*0</f>
        <v>0</v>
      </c>
      <c r="AP85" s="24">
        <f>G85*(1-0)</f>
        <v>0</v>
      </c>
      <c r="AQ85" s="26" t="s">
        <v>280</v>
      </c>
      <c r="AV85" s="24">
        <f>AW85+AX85</f>
        <v>0</v>
      </c>
      <c r="AW85" s="24">
        <f>F85*AO85</f>
        <v>0</v>
      </c>
      <c r="AX85" s="24">
        <f>F85*AP85</f>
        <v>0</v>
      </c>
      <c r="AY85" s="26" t="s">
        <v>281</v>
      </c>
      <c r="AZ85" s="26" t="s">
        <v>282</v>
      </c>
      <c r="BA85" s="10" t="s">
        <v>62</v>
      </c>
      <c r="BC85" s="24">
        <f>AW85+AX85</f>
        <v>0</v>
      </c>
      <c r="BD85" s="24">
        <f>G85/(100-BE85)*100</f>
        <v>0</v>
      </c>
      <c r="BE85" s="24">
        <v>0</v>
      </c>
      <c r="BF85" s="24">
        <f>85</f>
        <v>85</v>
      </c>
      <c r="BH85" s="24">
        <f>F85*AO85</f>
        <v>0</v>
      </c>
      <c r="BI85" s="24">
        <f>F85*AP85</f>
        <v>0</v>
      </c>
      <c r="BJ85" s="24">
        <f>F85*G85</f>
        <v>0</v>
      </c>
      <c r="BK85" s="24"/>
      <c r="BL85" s="24"/>
      <c r="BM85" s="24">
        <f>F85*G85</f>
        <v>0</v>
      </c>
      <c r="BW85" s="24">
        <v>21</v>
      </c>
      <c r="BX85" s="4" t="s">
        <v>278</v>
      </c>
    </row>
    <row r="86" spans="1:76" x14ac:dyDescent="0.25">
      <c r="A86" s="2" t="s">
        <v>283</v>
      </c>
      <c r="B86" s="3" t="s">
        <v>284</v>
      </c>
      <c r="C86" s="68" t="s">
        <v>285</v>
      </c>
      <c r="D86" s="63"/>
      <c r="E86" s="3" t="s">
        <v>279</v>
      </c>
      <c r="F86" s="24">
        <v>1</v>
      </c>
      <c r="G86" s="24">
        <v>0</v>
      </c>
      <c r="H86" s="24">
        <f>F86*AO86</f>
        <v>0</v>
      </c>
      <c r="I86" s="24">
        <f>F86*AP86</f>
        <v>0</v>
      </c>
      <c r="J86" s="24">
        <f>F86*G86</f>
        <v>0</v>
      </c>
      <c r="K86" s="25" t="s">
        <v>59</v>
      </c>
      <c r="Z86" s="24">
        <f>IF(AQ86="5",BJ86,0)</f>
        <v>0</v>
      </c>
      <c r="AB86" s="24">
        <f>IF(AQ86="1",BH86,0)</f>
        <v>0</v>
      </c>
      <c r="AC86" s="24">
        <f>IF(AQ86="1",BI86,0)</f>
        <v>0</v>
      </c>
      <c r="AD86" s="24">
        <f>IF(AQ86="7",BH86,0)</f>
        <v>0</v>
      </c>
      <c r="AE86" s="24">
        <f>IF(AQ86="7",BI86,0)</f>
        <v>0</v>
      </c>
      <c r="AF86" s="24">
        <f>IF(AQ86="2",BH86,0)</f>
        <v>0</v>
      </c>
      <c r="AG86" s="24">
        <f>IF(AQ86="2",BI86,0)</f>
        <v>0</v>
      </c>
      <c r="AH86" s="24">
        <f>IF(AQ86="0",BJ86,0)</f>
        <v>0</v>
      </c>
      <c r="AI86" s="10" t="s">
        <v>52</v>
      </c>
      <c r="AJ86" s="24">
        <f>IF(AN86=0,J86,0)</f>
        <v>0</v>
      </c>
      <c r="AK86" s="24">
        <f>IF(AN86=12,J86,0)</f>
        <v>0</v>
      </c>
      <c r="AL86" s="24">
        <f>IF(AN86=21,J86,0)</f>
        <v>0</v>
      </c>
      <c r="AN86" s="24">
        <v>21</v>
      </c>
      <c r="AO86" s="24">
        <f>G86*0</f>
        <v>0</v>
      </c>
      <c r="AP86" s="24">
        <f>G86*(1-0)</f>
        <v>0</v>
      </c>
      <c r="AQ86" s="26" t="s">
        <v>280</v>
      </c>
      <c r="AV86" s="24">
        <f>AW86+AX86</f>
        <v>0</v>
      </c>
      <c r="AW86" s="24">
        <f>F86*AO86</f>
        <v>0</v>
      </c>
      <c r="AX86" s="24">
        <f>F86*AP86</f>
        <v>0</v>
      </c>
      <c r="AY86" s="26" t="s">
        <v>281</v>
      </c>
      <c r="AZ86" s="26" t="s">
        <v>282</v>
      </c>
      <c r="BA86" s="10" t="s">
        <v>62</v>
      </c>
      <c r="BC86" s="24">
        <f>AW86+AX86</f>
        <v>0</v>
      </c>
      <c r="BD86" s="24">
        <f>G86/(100-BE86)*100</f>
        <v>0</v>
      </c>
      <c r="BE86" s="24">
        <v>0</v>
      </c>
      <c r="BF86" s="24">
        <f>86</f>
        <v>86</v>
      </c>
      <c r="BH86" s="24">
        <f>F86*AO86</f>
        <v>0</v>
      </c>
      <c r="BI86" s="24">
        <f>F86*AP86</f>
        <v>0</v>
      </c>
      <c r="BJ86" s="24">
        <f>F86*G86</f>
        <v>0</v>
      </c>
      <c r="BK86" s="24"/>
      <c r="BL86" s="24"/>
      <c r="BM86" s="24">
        <f>F86*G86</f>
        <v>0</v>
      </c>
      <c r="BW86" s="24">
        <v>21</v>
      </c>
      <c r="BX86" s="4" t="s">
        <v>285</v>
      </c>
    </row>
    <row r="87" spans="1:76" x14ac:dyDescent="0.25">
      <c r="A87" s="2" t="s">
        <v>117</v>
      </c>
      <c r="B87" s="3" t="s">
        <v>284</v>
      </c>
      <c r="C87" s="68" t="s">
        <v>286</v>
      </c>
      <c r="D87" s="63"/>
      <c r="E87" s="3" t="s">
        <v>279</v>
      </c>
      <c r="F87" s="24">
        <v>1</v>
      </c>
      <c r="G87" s="24">
        <v>0</v>
      </c>
      <c r="H87" s="24">
        <f>F87*AO87</f>
        <v>0</v>
      </c>
      <c r="I87" s="24">
        <f>F87*AP87</f>
        <v>0</v>
      </c>
      <c r="J87" s="24">
        <f>F87*G87</f>
        <v>0</v>
      </c>
      <c r="K87" s="25" t="s">
        <v>59</v>
      </c>
      <c r="Z87" s="24">
        <f>IF(AQ87="5",BJ87,0)</f>
        <v>0</v>
      </c>
      <c r="AB87" s="24">
        <f>IF(AQ87="1",BH87,0)</f>
        <v>0</v>
      </c>
      <c r="AC87" s="24">
        <f>IF(AQ87="1",BI87,0)</f>
        <v>0</v>
      </c>
      <c r="AD87" s="24">
        <f>IF(AQ87="7",BH87,0)</f>
        <v>0</v>
      </c>
      <c r="AE87" s="24">
        <f>IF(AQ87="7",BI87,0)</f>
        <v>0</v>
      </c>
      <c r="AF87" s="24">
        <f>IF(AQ87="2",BH87,0)</f>
        <v>0</v>
      </c>
      <c r="AG87" s="24">
        <f>IF(AQ87="2",BI87,0)</f>
        <v>0</v>
      </c>
      <c r="AH87" s="24">
        <f>IF(AQ87="0",BJ87,0)</f>
        <v>0</v>
      </c>
      <c r="AI87" s="10" t="s">
        <v>52</v>
      </c>
      <c r="AJ87" s="24">
        <f>IF(AN87=0,J87,0)</f>
        <v>0</v>
      </c>
      <c r="AK87" s="24">
        <f>IF(AN87=12,J87,0)</f>
        <v>0</v>
      </c>
      <c r="AL87" s="24">
        <f>IF(AN87=21,J87,0)</f>
        <v>0</v>
      </c>
      <c r="AN87" s="24">
        <v>21</v>
      </c>
      <c r="AO87" s="24">
        <f>G87*0</f>
        <v>0</v>
      </c>
      <c r="AP87" s="24">
        <f>G87*(1-0)</f>
        <v>0</v>
      </c>
      <c r="AQ87" s="26" t="s">
        <v>280</v>
      </c>
      <c r="AV87" s="24">
        <f>AW87+AX87</f>
        <v>0</v>
      </c>
      <c r="AW87" s="24">
        <f>F87*AO87</f>
        <v>0</v>
      </c>
      <c r="AX87" s="24">
        <f>F87*AP87</f>
        <v>0</v>
      </c>
      <c r="AY87" s="26" t="s">
        <v>281</v>
      </c>
      <c r="AZ87" s="26" t="s">
        <v>282</v>
      </c>
      <c r="BA87" s="10" t="s">
        <v>62</v>
      </c>
      <c r="BC87" s="24">
        <f>AW87+AX87</f>
        <v>0</v>
      </c>
      <c r="BD87" s="24">
        <f>G87/(100-BE87)*100</f>
        <v>0</v>
      </c>
      <c r="BE87" s="24">
        <v>0</v>
      </c>
      <c r="BF87" s="24">
        <f>87</f>
        <v>87</v>
      </c>
      <c r="BH87" s="24">
        <f>F87*AO87</f>
        <v>0</v>
      </c>
      <c r="BI87" s="24">
        <f>F87*AP87</f>
        <v>0</v>
      </c>
      <c r="BJ87" s="24">
        <f>F87*G87</f>
        <v>0</v>
      </c>
      <c r="BK87" s="24"/>
      <c r="BL87" s="24"/>
      <c r="BM87" s="24">
        <f>F87*G87</f>
        <v>0</v>
      </c>
      <c r="BW87" s="24">
        <v>21</v>
      </c>
      <c r="BX87" s="4" t="s">
        <v>286</v>
      </c>
    </row>
    <row r="88" spans="1:76" x14ac:dyDescent="0.25">
      <c r="A88" s="27" t="s">
        <v>52</v>
      </c>
      <c r="B88" s="28" t="s">
        <v>287</v>
      </c>
      <c r="C88" s="84" t="s">
        <v>288</v>
      </c>
      <c r="D88" s="85"/>
      <c r="E88" s="29" t="s">
        <v>19</v>
      </c>
      <c r="F88" s="29" t="s">
        <v>19</v>
      </c>
      <c r="G88" s="29" t="s">
        <v>19</v>
      </c>
      <c r="H88" s="1">
        <f>SUM(H89:H89)</f>
        <v>0</v>
      </c>
      <c r="I88" s="1">
        <f>SUM(I89:I89)</f>
        <v>0</v>
      </c>
      <c r="J88" s="1">
        <f>SUM(J89:J89)</f>
        <v>0</v>
      </c>
      <c r="K88" s="30" t="s">
        <v>52</v>
      </c>
      <c r="AI88" s="10" t="s">
        <v>52</v>
      </c>
      <c r="AS88" s="1">
        <f>SUM(AJ89:AJ89)</f>
        <v>0</v>
      </c>
      <c r="AT88" s="1">
        <f>SUM(AK89:AK89)</f>
        <v>0</v>
      </c>
      <c r="AU88" s="1">
        <f>SUM(AL89:AL89)</f>
        <v>0</v>
      </c>
    </row>
    <row r="89" spans="1:76" x14ac:dyDescent="0.25">
      <c r="A89" s="2" t="s">
        <v>289</v>
      </c>
      <c r="B89" s="3" t="s">
        <v>290</v>
      </c>
      <c r="C89" s="68" t="s">
        <v>288</v>
      </c>
      <c r="D89" s="63"/>
      <c r="E89" s="3" t="s">
        <v>279</v>
      </c>
      <c r="F89" s="24">
        <v>1</v>
      </c>
      <c r="G89" s="24">
        <v>0</v>
      </c>
      <c r="H89" s="24">
        <f>F89*AO89</f>
        <v>0</v>
      </c>
      <c r="I89" s="24">
        <f>F89*AP89</f>
        <v>0</v>
      </c>
      <c r="J89" s="24">
        <f>F89*G89</f>
        <v>0</v>
      </c>
      <c r="K89" s="25" t="s">
        <v>59</v>
      </c>
      <c r="Z89" s="24">
        <f>IF(AQ89="5",BJ89,0)</f>
        <v>0</v>
      </c>
      <c r="AB89" s="24">
        <f>IF(AQ89="1",BH89,0)</f>
        <v>0</v>
      </c>
      <c r="AC89" s="24">
        <f>IF(AQ89="1",BI89,0)</f>
        <v>0</v>
      </c>
      <c r="AD89" s="24">
        <f>IF(AQ89="7",BH89,0)</f>
        <v>0</v>
      </c>
      <c r="AE89" s="24">
        <f>IF(AQ89="7",BI89,0)</f>
        <v>0</v>
      </c>
      <c r="AF89" s="24">
        <f>IF(AQ89="2",BH89,0)</f>
        <v>0</v>
      </c>
      <c r="AG89" s="24">
        <f>IF(AQ89="2",BI89,0)</f>
        <v>0</v>
      </c>
      <c r="AH89" s="24">
        <f>IF(AQ89="0",BJ89,0)</f>
        <v>0</v>
      </c>
      <c r="AI89" s="10" t="s">
        <v>52</v>
      </c>
      <c r="AJ89" s="24">
        <f>IF(AN89=0,J89,0)</f>
        <v>0</v>
      </c>
      <c r="AK89" s="24">
        <f>IF(AN89=12,J89,0)</f>
        <v>0</v>
      </c>
      <c r="AL89" s="24">
        <f>IF(AN89=21,J89,0)</f>
        <v>0</v>
      </c>
      <c r="AN89" s="24">
        <v>21</v>
      </c>
      <c r="AO89" s="24">
        <f>G89*0</f>
        <v>0</v>
      </c>
      <c r="AP89" s="24">
        <f>G89*(1-0)</f>
        <v>0</v>
      </c>
      <c r="AQ89" s="26" t="s">
        <v>280</v>
      </c>
      <c r="AV89" s="24">
        <f>AW89+AX89</f>
        <v>0</v>
      </c>
      <c r="AW89" s="24">
        <f>F89*AO89</f>
        <v>0</v>
      </c>
      <c r="AX89" s="24">
        <f>F89*AP89</f>
        <v>0</v>
      </c>
      <c r="AY89" s="26" t="s">
        <v>291</v>
      </c>
      <c r="AZ89" s="26" t="s">
        <v>282</v>
      </c>
      <c r="BA89" s="10" t="s">
        <v>62</v>
      </c>
      <c r="BC89" s="24">
        <f>AW89+AX89</f>
        <v>0</v>
      </c>
      <c r="BD89" s="24">
        <f>G89/(100-BE89)*100</f>
        <v>0</v>
      </c>
      <c r="BE89" s="24">
        <v>0</v>
      </c>
      <c r="BF89" s="24">
        <f>89</f>
        <v>89</v>
      </c>
      <c r="BH89" s="24">
        <f>F89*AO89</f>
        <v>0</v>
      </c>
      <c r="BI89" s="24">
        <f>F89*AP89</f>
        <v>0</v>
      </c>
      <c r="BJ89" s="24">
        <f>F89*G89</f>
        <v>0</v>
      </c>
      <c r="BK89" s="24"/>
      <c r="BL89" s="24"/>
      <c r="BO89" s="24">
        <f>F89*G89</f>
        <v>0</v>
      </c>
      <c r="BW89" s="24">
        <v>21</v>
      </c>
      <c r="BX89" s="4" t="s">
        <v>288</v>
      </c>
    </row>
    <row r="90" spans="1:76" x14ac:dyDescent="0.25">
      <c r="A90" s="27" t="s">
        <v>52</v>
      </c>
      <c r="B90" s="28" t="s">
        <v>292</v>
      </c>
      <c r="C90" s="84" t="s">
        <v>293</v>
      </c>
      <c r="D90" s="85"/>
      <c r="E90" s="29" t="s">
        <v>19</v>
      </c>
      <c r="F90" s="29" t="s">
        <v>19</v>
      </c>
      <c r="G90" s="29" t="s">
        <v>19</v>
      </c>
      <c r="H90" s="1">
        <f>SUM(H91:H91)</f>
        <v>0</v>
      </c>
      <c r="I90" s="1">
        <f>SUM(I91:I91)</f>
        <v>0</v>
      </c>
      <c r="J90" s="1">
        <f>SUM(J91:J91)</f>
        <v>0</v>
      </c>
      <c r="K90" s="30" t="s">
        <v>52</v>
      </c>
      <c r="AI90" s="10" t="s">
        <v>52</v>
      </c>
      <c r="AS90" s="1">
        <f>SUM(AJ91:AJ91)</f>
        <v>0</v>
      </c>
      <c r="AT90" s="1">
        <f>SUM(AK91:AK91)</f>
        <v>0</v>
      </c>
      <c r="AU90" s="1">
        <f>SUM(AL91:AL91)</f>
        <v>0</v>
      </c>
    </row>
    <row r="91" spans="1:76" x14ac:dyDescent="0.25">
      <c r="A91" s="2" t="s">
        <v>294</v>
      </c>
      <c r="B91" s="3" t="s">
        <v>295</v>
      </c>
      <c r="C91" s="68" t="s">
        <v>296</v>
      </c>
      <c r="D91" s="63"/>
      <c r="E91" s="3" t="s">
        <v>279</v>
      </c>
      <c r="F91" s="24">
        <v>6</v>
      </c>
      <c r="G91" s="24">
        <v>0</v>
      </c>
      <c r="H91" s="24">
        <f>F91*AO91</f>
        <v>0</v>
      </c>
      <c r="I91" s="24">
        <f>F91*AP91</f>
        <v>0</v>
      </c>
      <c r="J91" s="24">
        <f>F91*G91</f>
        <v>0</v>
      </c>
      <c r="K91" s="25" t="s">
        <v>59</v>
      </c>
      <c r="Z91" s="24">
        <f>IF(AQ91="5",BJ91,0)</f>
        <v>0</v>
      </c>
      <c r="AB91" s="24">
        <f>IF(AQ91="1",BH91,0)</f>
        <v>0</v>
      </c>
      <c r="AC91" s="24">
        <f>IF(AQ91="1",BI91,0)</f>
        <v>0</v>
      </c>
      <c r="AD91" s="24">
        <f>IF(AQ91="7",BH91,0)</f>
        <v>0</v>
      </c>
      <c r="AE91" s="24">
        <f>IF(AQ91="7",BI91,0)</f>
        <v>0</v>
      </c>
      <c r="AF91" s="24">
        <f>IF(AQ91="2",BH91,0)</f>
        <v>0</v>
      </c>
      <c r="AG91" s="24">
        <f>IF(AQ91="2",BI91,0)</f>
        <v>0</v>
      </c>
      <c r="AH91" s="24">
        <f>IF(AQ91="0",BJ91,0)</f>
        <v>0</v>
      </c>
      <c r="AI91" s="10" t="s">
        <v>52</v>
      </c>
      <c r="AJ91" s="24">
        <f>IF(AN91=0,J91,0)</f>
        <v>0</v>
      </c>
      <c r="AK91" s="24">
        <f>IF(AN91=12,J91,0)</f>
        <v>0</v>
      </c>
      <c r="AL91" s="24">
        <f>IF(AN91=21,J91,0)</f>
        <v>0</v>
      </c>
      <c r="AN91" s="24">
        <v>21</v>
      </c>
      <c r="AO91" s="24">
        <f>G91*0</f>
        <v>0</v>
      </c>
      <c r="AP91" s="24">
        <f>G91*(1-0)</f>
        <v>0</v>
      </c>
      <c r="AQ91" s="26" t="s">
        <v>280</v>
      </c>
      <c r="AV91" s="24">
        <f>AW91+AX91</f>
        <v>0</v>
      </c>
      <c r="AW91" s="24">
        <f>F91*AO91</f>
        <v>0</v>
      </c>
      <c r="AX91" s="24">
        <f>F91*AP91</f>
        <v>0</v>
      </c>
      <c r="AY91" s="26" t="s">
        <v>297</v>
      </c>
      <c r="AZ91" s="26" t="s">
        <v>282</v>
      </c>
      <c r="BA91" s="10" t="s">
        <v>62</v>
      </c>
      <c r="BC91" s="24">
        <f>AW91+AX91</f>
        <v>0</v>
      </c>
      <c r="BD91" s="24">
        <f>G91/(100-BE91)*100</f>
        <v>0</v>
      </c>
      <c r="BE91" s="24">
        <v>0</v>
      </c>
      <c r="BF91" s="24">
        <f>91</f>
        <v>91</v>
      </c>
      <c r="BH91" s="24">
        <f>F91*AO91</f>
        <v>0</v>
      </c>
      <c r="BI91" s="24">
        <f>F91*AP91</f>
        <v>0</v>
      </c>
      <c r="BJ91" s="24">
        <f>F91*G91</f>
        <v>0</v>
      </c>
      <c r="BK91" s="24"/>
      <c r="BL91" s="24"/>
      <c r="BP91" s="24">
        <f>F91*G91</f>
        <v>0</v>
      </c>
      <c r="BW91" s="24">
        <v>21</v>
      </c>
      <c r="BX91" s="4" t="s">
        <v>296</v>
      </c>
    </row>
    <row r="92" spans="1:76" x14ac:dyDescent="0.25">
      <c r="A92" s="27" t="s">
        <v>52</v>
      </c>
      <c r="B92" s="28" t="s">
        <v>298</v>
      </c>
      <c r="C92" s="84" t="s">
        <v>299</v>
      </c>
      <c r="D92" s="85"/>
      <c r="E92" s="29" t="s">
        <v>19</v>
      </c>
      <c r="F92" s="29" t="s">
        <v>19</v>
      </c>
      <c r="G92" s="29" t="s">
        <v>19</v>
      </c>
      <c r="H92" s="1">
        <f>SUM(H93:H93)</f>
        <v>0</v>
      </c>
      <c r="I92" s="1">
        <f>SUM(I93:I93)</f>
        <v>0</v>
      </c>
      <c r="J92" s="1">
        <f>SUM(J93:J93)</f>
        <v>0</v>
      </c>
      <c r="K92" s="30" t="s">
        <v>52</v>
      </c>
      <c r="AI92" s="10" t="s">
        <v>52</v>
      </c>
      <c r="AS92" s="1">
        <f>SUM(AJ93:AJ93)</f>
        <v>0</v>
      </c>
      <c r="AT92" s="1">
        <f>SUM(AK93:AK93)</f>
        <v>0</v>
      </c>
      <c r="AU92" s="1">
        <f>SUM(AL93:AL93)</f>
        <v>0</v>
      </c>
    </row>
    <row r="93" spans="1:76" x14ac:dyDescent="0.25">
      <c r="A93" s="31" t="s">
        <v>300</v>
      </c>
      <c r="B93" s="32" t="s">
        <v>301</v>
      </c>
      <c r="C93" s="86" t="s">
        <v>302</v>
      </c>
      <c r="D93" s="87"/>
      <c r="E93" s="32" t="s">
        <v>279</v>
      </c>
      <c r="F93" s="33">
        <v>1</v>
      </c>
      <c r="G93" s="33">
        <v>0</v>
      </c>
      <c r="H93" s="33">
        <f>F93*AO93</f>
        <v>0</v>
      </c>
      <c r="I93" s="33">
        <f>F93*AP93</f>
        <v>0</v>
      </c>
      <c r="J93" s="33">
        <f>F93*G93</f>
        <v>0</v>
      </c>
      <c r="K93" s="34" t="s">
        <v>59</v>
      </c>
      <c r="Z93" s="24">
        <f>IF(AQ93="5",BJ93,0)</f>
        <v>0</v>
      </c>
      <c r="AB93" s="24">
        <f>IF(AQ93="1",BH93,0)</f>
        <v>0</v>
      </c>
      <c r="AC93" s="24">
        <f>IF(AQ93="1",BI93,0)</f>
        <v>0</v>
      </c>
      <c r="AD93" s="24">
        <f>IF(AQ93="7",BH93,0)</f>
        <v>0</v>
      </c>
      <c r="AE93" s="24">
        <f>IF(AQ93="7",BI93,0)</f>
        <v>0</v>
      </c>
      <c r="AF93" s="24">
        <f>IF(AQ93="2",BH93,0)</f>
        <v>0</v>
      </c>
      <c r="AG93" s="24">
        <f>IF(AQ93="2",BI93,0)</f>
        <v>0</v>
      </c>
      <c r="AH93" s="24">
        <f>IF(AQ93="0",BJ93,0)</f>
        <v>0</v>
      </c>
      <c r="AI93" s="10" t="s">
        <v>52</v>
      </c>
      <c r="AJ93" s="24">
        <f>IF(AN93=0,J93,0)</f>
        <v>0</v>
      </c>
      <c r="AK93" s="24">
        <f>IF(AN93=12,J93,0)</f>
        <v>0</v>
      </c>
      <c r="AL93" s="24">
        <f>IF(AN93=21,J93,0)</f>
        <v>0</v>
      </c>
      <c r="AN93" s="24">
        <v>21</v>
      </c>
      <c r="AO93" s="24">
        <f>G93*0</f>
        <v>0</v>
      </c>
      <c r="AP93" s="24">
        <f>G93*(1-0)</f>
        <v>0</v>
      </c>
      <c r="AQ93" s="26" t="s">
        <v>280</v>
      </c>
      <c r="AV93" s="24">
        <f>AW93+AX93</f>
        <v>0</v>
      </c>
      <c r="AW93" s="24">
        <f>F93*AO93</f>
        <v>0</v>
      </c>
      <c r="AX93" s="24">
        <f>F93*AP93</f>
        <v>0</v>
      </c>
      <c r="AY93" s="26" t="s">
        <v>303</v>
      </c>
      <c r="AZ93" s="26" t="s">
        <v>282</v>
      </c>
      <c r="BA93" s="10" t="s">
        <v>62</v>
      </c>
      <c r="BC93" s="24">
        <f>AW93+AX93</f>
        <v>0</v>
      </c>
      <c r="BD93" s="24">
        <f>G93/(100-BE93)*100</f>
        <v>0</v>
      </c>
      <c r="BE93" s="24">
        <v>0</v>
      </c>
      <c r="BF93" s="24">
        <f>93</f>
        <v>93</v>
      </c>
      <c r="BH93" s="24">
        <f>F93*AO93</f>
        <v>0</v>
      </c>
      <c r="BI93" s="24">
        <f>F93*AP93</f>
        <v>0</v>
      </c>
      <c r="BJ93" s="24">
        <f>F93*G93</f>
        <v>0</v>
      </c>
      <c r="BK93" s="24"/>
      <c r="BL93" s="24"/>
      <c r="BS93" s="24">
        <f>F93*G93</f>
        <v>0</v>
      </c>
      <c r="BW93" s="24">
        <v>21</v>
      </c>
      <c r="BX93" s="4" t="s">
        <v>302</v>
      </c>
    </row>
    <row r="94" spans="1:76" x14ac:dyDescent="0.25">
      <c r="H94" s="88" t="s">
        <v>304</v>
      </c>
      <c r="I94" s="88"/>
      <c r="J94" s="35">
        <f>J12+J17+J21+J23+J28+J33+J36+J39+J48+J50+J52+J54+J56+J62+J68+J84+J88+J90+J92</f>
        <v>0</v>
      </c>
    </row>
    <row r="95" spans="1:76" x14ac:dyDescent="0.25">
      <c r="A95" s="36" t="s">
        <v>305</v>
      </c>
    </row>
    <row r="96" spans="1:76" ht="12.75" customHeight="1" x14ac:dyDescent="0.25">
      <c r="A96" s="68" t="s">
        <v>52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</row>
  </sheetData>
  <mergeCells count="112">
    <mergeCell ref="A96:K96"/>
    <mergeCell ref="C90:D90"/>
    <mergeCell ref="C91:D91"/>
    <mergeCell ref="C92:D92"/>
    <mergeCell ref="C93:D93"/>
    <mergeCell ref="H94:I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89" t="s">
        <v>306</v>
      </c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60" t="s">
        <v>1</v>
      </c>
      <c r="B2" s="61"/>
      <c r="C2" s="69" t="str">
        <f>'Stavební rozpočet'!C2</f>
        <v>Novostavba Chodníku a parkovacích stání ul Fugnerova</v>
      </c>
      <c r="D2" s="70"/>
      <c r="E2" s="67" t="s">
        <v>5</v>
      </c>
      <c r="F2" s="67" t="str">
        <f>'Stavební rozpočet'!I2</f>
        <v> </v>
      </c>
      <c r="G2" s="61"/>
      <c r="H2" s="67" t="s">
        <v>307</v>
      </c>
      <c r="I2" s="72" t="s">
        <v>52</v>
      </c>
    </row>
    <row r="3" spans="1:9" ht="15" customHeight="1" x14ac:dyDescent="0.25">
      <c r="A3" s="62"/>
      <c r="B3" s="63"/>
      <c r="C3" s="71"/>
      <c r="D3" s="71"/>
      <c r="E3" s="63"/>
      <c r="F3" s="63"/>
      <c r="G3" s="63"/>
      <c r="H3" s="63"/>
      <c r="I3" s="73"/>
    </row>
    <row r="4" spans="1:9" x14ac:dyDescent="0.25">
      <c r="A4" s="64" t="s">
        <v>7</v>
      </c>
      <c r="B4" s="63"/>
      <c r="C4" s="68" t="str">
        <f>'Stavební rozpočet'!C4</f>
        <v>Novostavba chodníku a podélného parkovacího stání</v>
      </c>
      <c r="D4" s="63"/>
      <c r="E4" s="68" t="s">
        <v>11</v>
      </c>
      <c r="F4" s="68" t="str">
        <f>'Stavební rozpočet'!I4</f>
        <v>Bau-projekt spol s.r.o.</v>
      </c>
      <c r="G4" s="63"/>
      <c r="H4" s="68" t="s">
        <v>307</v>
      </c>
      <c r="I4" s="73" t="s">
        <v>308</v>
      </c>
    </row>
    <row r="5" spans="1:9" ht="15" customHeight="1" x14ac:dyDescent="0.25">
      <c r="A5" s="62"/>
      <c r="B5" s="63"/>
      <c r="C5" s="63"/>
      <c r="D5" s="63"/>
      <c r="E5" s="63"/>
      <c r="F5" s="63"/>
      <c r="G5" s="63"/>
      <c r="H5" s="63"/>
      <c r="I5" s="73"/>
    </row>
    <row r="6" spans="1:9" x14ac:dyDescent="0.25">
      <c r="A6" s="64" t="s">
        <v>13</v>
      </c>
      <c r="B6" s="63"/>
      <c r="C6" s="68" t="str">
        <f>'Stavební rozpočet'!C6</f>
        <v>Fugnerova ul. Bílina</v>
      </c>
      <c r="D6" s="63"/>
      <c r="E6" s="68" t="s">
        <v>17</v>
      </c>
      <c r="F6" s="68" t="str">
        <f>'Stavební rozpočet'!I6</f>
        <v> </v>
      </c>
      <c r="G6" s="63"/>
      <c r="H6" s="68" t="s">
        <v>307</v>
      </c>
      <c r="I6" s="73" t="s">
        <v>52</v>
      </c>
    </row>
    <row r="7" spans="1:9" ht="15" customHeight="1" x14ac:dyDescent="0.25">
      <c r="A7" s="62"/>
      <c r="B7" s="63"/>
      <c r="C7" s="63"/>
      <c r="D7" s="63"/>
      <c r="E7" s="63"/>
      <c r="F7" s="63"/>
      <c r="G7" s="63"/>
      <c r="H7" s="63"/>
      <c r="I7" s="73"/>
    </row>
    <row r="8" spans="1:9" x14ac:dyDescent="0.25">
      <c r="A8" s="64" t="s">
        <v>9</v>
      </c>
      <c r="B8" s="63"/>
      <c r="C8" s="68" t="str">
        <f>'Stavební rozpočet'!G4</f>
        <v>01.04.2024</v>
      </c>
      <c r="D8" s="63"/>
      <c r="E8" s="68" t="s">
        <v>15</v>
      </c>
      <c r="F8" s="68" t="str">
        <f>'Stavební rozpočet'!G6</f>
        <v>30.11.2024</v>
      </c>
      <c r="G8" s="63"/>
      <c r="H8" s="63" t="s">
        <v>309</v>
      </c>
      <c r="I8" s="91">
        <v>62</v>
      </c>
    </row>
    <row r="9" spans="1:9" x14ac:dyDescent="0.25">
      <c r="A9" s="62"/>
      <c r="B9" s="63"/>
      <c r="C9" s="63"/>
      <c r="D9" s="63"/>
      <c r="E9" s="63"/>
      <c r="F9" s="63"/>
      <c r="G9" s="63"/>
      <c r="H9" s="63"/>
      <c r="I9" s="73"/>
    </row>
    <row r="10" spans="1:9" x14ac:dyDescent="0.25">
      <c r="A10" s="64" t="s">
        <v>18</v>
      </c>
      <c r="B10" s="63"/>
      <c r="C10" s="68" t="str">
        <f>'Stavební rozpočet'!C8</f>
        <v xml:space="preserve"> </v>
      </c>
      <c r="D10" s="63"/>
      <c r="E10" s="68" t="s">
        <v>22</v>
      </c>
      <c r="F10" s="68" t="str">
        <f>'Stavební rozpočet'!I8</f>
        <v> </v>
      </c>
      <c r="G10" s="63"/>
      <c r="H10" s="63" t="s">
        <v>310</v>
      </c>
      <c r="I10" s="92" t="str">
        <f>'Stavební rozpočet'!G8</f>
        <v>04.09.2023</v>
      </c>
    </row>
    <row r="11" spans="1:9" x14ac:dyDescent="0.25">
      <c r="A11" s="90"/>
      <c r="B11" s="87"/>
      <c r="C11" s="87"/>
      <c r="D11" s="87"/>
      <c r="E11" s="87"/>
      <c r="F11" s="87"/>
      <c r="G11" s="87"/>
      <c r="H11" s="87"/>
      <c r="I11" s="93"/>
    </row>
    <row r="12" spans="1:9" ht="23.25" x14ac:dyDescent="0.25">
      <c r="A12" s="94" t="s">
        <v>311</v>
      </c>
      <c r="B12" s="94"/>
      <c r="C12" s="94"/>
      <c r="D12" s="94"/>
      <c r="E12" s="94"/>
      <c r="F12" s="94"/>
      <c r="G12" s="94"/>
      <c r="H12" s="94"/>
      <c r="I12" s="94"/>
    </row>
    <row r="13" spans="1:9" ht="26.25" customHeight="1" x14ac:dyDescent="0.25">
      <c r="A13" s="37" t="s">
        <v>312</v>
      </c>
      <c r="B13" s="95" t="s">
        <v>313</v>
      </c>
      <c r="C13" s="96"/>
      <c r="D13" s="38" t="s">
        <v>314</v>
      </c>
      <c r="E13" s="95" t="s">
        <v>315</v>
      </c>
      <c r="F13" s="96"/>
      <c r="G13" s="38" t="s">
        <v>316</v>
      </c>
      <c r="H13" s="95" t="s">
        <v>317</v>
      </c>
      <c r="I13" s="96"/>
    </row>
    <row r="14" spans="1:9" ht="15.75" x14ac:dyDescent="0.25">
      <c r="A14" s="39" t="s">
        <v>318</v>
      </c>
      <c r="B14" s="40" t="s">
        <v>319</v>
      </c>
      <c r="C14" s="41">
        <f>SUM('Stavební rozpočet'!AB12:AB93)</f>
        <v>0</v>
      </c>
      <c r="D14" s="103" t="s">
        <v>320</v>
      </c>
      <c r="E14" s="104"/>
      <c r="F14" s="41">
        <f>VORN!I15</f>
        <v>0</v>
      </c>
      <c r="G14" s="103" t="s">
        <v>288</v>
      </c>
      <c r="H14" s="104"/>
      <c r="I14" s="42">
        <f>VORN!I21</f>
        <v>0</v>
      </c>
    </row>
    <row r="15" spans="1:9" ht="15.75" x14ac:dyDescent="0.25">
      <c r="A15" s="43" t="s">
        <v>52</v>
      </c>
      <c r="B15" s="40" t="s">
        <v>37</v>
      </c>
      <c r="C15" s="41">
        <f>SUM('Stavební rozpočet'!AC12:AC93)</f>
        <v>0</v>
      </c>
      <c r="D15" s="103" t="s">
        <v>321</v>
      </c>
      <c r="E15" s="104"/>
      <c r="F15" s="41">
        <f>VORN!I16</f>
        <v>0</v>
      </c>
      <c r="G15" s="103" t="s">
        <v>322</v>
      </c>
      <c r="H15" s="104"/>
      <c r="I15" s="42">
        <f>VORN!I22</f>
        <v>0</v>
      </c>
    </row>
    <row r="16" spans="1:9" ht="15.75" x14ac:dyDescent="0.25">
      <c r="A16" s="39" t="s">
        <v>323</v>
      </c>
      <c r="B16" s="40" t="s">
        <v>319</v>
      </c>
      <c r="C16" s="41">
        <f>SUM('Stavební rozpočet'!AD12:AD93)</f>
        <v>0</v>
      </c>
      <c r="D16" s="103" t="s">
        <v>324</v>
      </c>
      <c r="E16" s="104"/>
      <c r="F16" s="41">
        <f>VORN!I17</f>
        <v>0</v>
      </c>
      <c r="G16" s="103" t="s">
        <v>325</v>
      </c>
      <c r="H16" s="104"/>
      <c r="I16" s="42">
        <f>VORN!I23</f>
        <v>0</v>
      </c>
    </row>
    <row r="17" spans="1:9" ht="15.75" x14ac:dyDescent="0.25">
      <c r="A17" s="43" t="s">
        <v>52</v>
      </c>
      <c r="B17" s="40" t="s">
        <v>37</v>
      </c>
      <c r="C17" s="41">
        <f>SUM('Stavební rozpočet'!AE12:AE93)</f>
        <v>0</v>
      </c>
      <c r="D17" s="103" t="s">
        <v>52</v>
      </c>
      <c r="E17" s="104"/>
      <c r="F17" s="42" t="s">
        <v>52</v>
      </c>
      <c r="G17" s="103" t="s">
        <v>299</v>
      </c>
      <c r="H17" s="104"/>
      <c r="I17" s="42">
        <f>VORN!I24</f>
        <v>0</v>
      </c>
    </row>
    <row r="18" spans="1:9" ht="15.75" x14ac:dyDescent="0.25">
      <c r="A18" s="39" t="s">
        <v>326</v>
      </c>
      <c r="B18" s="40" t="s">
        <v>319</v>
      </c>
      <c r="C18" s="41">
        <f>SUM('Stavební rozpočet'!AF12:AF93)</f>
        <v>0</v>
      </c>
      <c r="D18" s="103" t="s">
        <v>52</v>
      </c>
      <c r="E18" s="104"/>
      <c r="F18" s="42" t="s">
        <v>52</v>
      </c>
      <c r="G18" s="103" t="s">
        <v>327</v>
      </c>
      <c r="H18" s="104"/>
      <c r="I18" s="42">
        <f>VORN!I25</f>
        <v>0</v>
      </c>
    </row>
    <row r="19" spans="1:9" ht="15.75" x14ac:dyDescent="0.25">
      <c r="A19" s="43" t="s">
        <v>52</v>
      </c>
      <c r="B19" s="40" t="s">
        <v>37</v>
      </c>
      <c r="C19" s="41">
        <f>SUM('Stavební rozpočet'!AG12:AG93)</f>
        <v>0</v>
      </c>
      <c r="D19" s="103" t="s">
        <v>52</v>
      </c>
      <c r="E19" s="104"/>
      <c r="F19" s="42" t="s">
        <v>52</v>
      </c>
      <c r="G19" s="103" t="s">
        <v>328</v>
      </c>
      <c r="H19" s="104"/>
      <c r="I19" s="42">
        <f>VORN!I26</f>
        <v>0</v>
      </c>
    </row>
    <row r="20" spans="1:9" ht="15.75" x14ac:dyDescent="0.25">
      <c r="A20" s="97" t="s">
        <v>227</v>
      </c>
      <c r="B20" s="98"/>
      <c r="C20" s="41">
        <f>SUM('Stavební rozpočet'!AH12:AH93)</f>
        <v>0</v>
      </c>
      <c r="D20" s="103" t="s">
        <v>52</v>
      </c>
      <c r="E20" s="104"/>
      <c r="F20" s="42" t="s">
        <v>52</v>
      </c>
      <c r="G20" s="103" t="s">
        <v>52</v>
      </c>
      <c r="H20" s="104"/>
      <c r="I20" s="42" t="s">
        <v>52</v>
      </c>
    </row>
    <row r="21" spans="1:9" ht="15.75" x14ac:dyDescent="0.25">
      <c r="A21" s="99" t="s">
        <v>329</v>
      </c>
      <c r="B21" s="100"/>
      <c r="C21" s="44">
        <f>SUM('Stavební rozpočet'!Z12:Z93)</f>
        <v>0</v>
      </c>
      <c r="D21" s="105" t="s">
        <v>52</v>
      </c>
      <c r="E21" s="106"/>
      <c r="F21" s="45" t="s">
        <v>52</v>
      </c>
      <c r="G21" s="105" t="s">
        <v>52</v>
      </c>
      <c r="H21" s="106"/>
      <c r="I21" s="45" t="s">
        <v>52</v>
      </c>
    </row>
    <row r="22" spans="1:9" ht="16.5" customHeight="1" x14ac:dyDescent="0.25">
      <c r="A22" s="101" t="s">
        <v>330</v>
      </c>
      <c r="B22" s="102"/>
      <c r="C22" s="46">
        <f>SUM(C14:C21)</f>
        <v>0</v>
      </c>
      <c r="D22" s="107" t="s">
        <v>331</v>
      </c>
      <c r="E22" s="102"/>
      <c r="F22" s="46">
        <f>SUM(F14:F21)</f>
        <v>0</v>
      </c>
      <c r="G22" s="107" t="s">
        <v>332</v>
      </c>
      <c r="H22" s="102"/>
      <c r="I22" s="46">
        <f>SUM(I14:I21)</f>
        <v>0</v>
      </c>
    </row>
    <row r="23" spans="1:9" ht="15.75" x14ac:dyDescent="0.25">
      <c r="D23" s="97" t="s">
        <v>333</v>
      </c>
      <c r="E23" s="98"/>
      <c r="F23" s="47">
        <v>0</v>
      </c>
      <c r="G23" s="108" t="s">
        <v>334</v>
      </c>
      <c r="H23" s="98"/>
      <c r="I23" s="41">
        <v>0</v>
      </c>
    </row>
    <row r="24" spans="1:9" ht="15.75" x14ac:dyDescent="0.25">
      <c r="G24" s="97" t="s">
        <v>335</v>
      </c>
      <c r="H24" s="98"/>
      <c r="I24" s="44">
        <f>vorn_sum</f>
        <v>0</v>
      </c>
    </row>
    <row r="25" spans="1:9" ht="15.75" x14ac:dyDescent="0.25">
      <c r="G25" s="97" t="s">
        <v>336</v>
      </c>
      <c r="H25" s="98"/>
      <c r="I25" s="46">
        <v>0</v>
      </c>
    </row>
    <row r="27" spans="1:9" ht="15.75" x14ac:dyDescent="0.25">
      <c r="A27" s="109" t="s">
        <v>337</v>
      </c>
      <c r="B27" s="110"/>
      <c r="C27" s="48">
        <f>SUM('Stavební rozpočet'!AJ12:AJ93)</f>
        <v>0</v>
      </c>
    </row>
    <row r="28" spans="1:9" ht="15.75" x14ac:dyDescent="0.25">
      <c r="A28" s="111" t="s">
        <v>338</v>
      </c>
      <c r="B28" s="112"/>
      <c r="C28" s="49">
        <f>SUM('Stavební rozpočet'!AK12:AK93)</f>
        <v>0</v>
      </c>
      <c r="D28" s="113" t="s">
        <v>339</v>
      </c>
      <c r="E28" s="110"/>
      <c r="F28" s="48">
        <f>ROUND(C28*(12/100),2)</f>
        <v>0</v>
      </c>
      <c r="G28" s="113" t="s">
        <v>340</v>
      </c>
      <c r="H28" s="110"/>
      <c r="I28" s="48">
        <f>SUM(C27:C29)</f>
        <v>0</v>
      </c>
    </row>
    <row r="29" spans="1:9" ht="15.75" x14ac:dyDescent="0.25">
      <c r="A29" s="111" t="s">
        <v>341</v>
      </c>
      <c r="B29" s="112"/>
      <c r="C29" s="49">
        <f>SUM('Stavební rozpočet'!AL12:AL93)</f>
        <v>0</v>
      </c>
      <c r="D29" s="114" t="s">
        <v>342</v>
      </c>
      <c r="E29" s="112"/>
      <c r="F29" s="49">
        <f>ROUND(C29*(21/100),2)</f>
        <v>0</v>
      </c>
      <c r="G29" s="114" t="s">
        <v>343</v>
      </c>
      <c r="H29" s="112"/>
      <c r="I29" s="49">
        <f>SUM(F28:F29)+I28</f>
        <v>0</v>
      </c>
    </row>
    <row r="31" spans="1:9" x14ac:dyDescent="0.25">
      <c r="A31" s="115" t="s">
        <v>344</v>
      </c>
      <c r="B31" s="116"/>
      <c r="C31" s="117"/>
      <c r="D31" s="124" t="s">
        <v>345</v>
      </c>
      <c r="E31" s="116"/>
      <c r="F31" s="117"/>
      <c r="G31" s="124" t="s">
        <v>346</v>
      </c>
      <c r="H31" s="116"/>
      <c r="I31" s="117"/>
    </row>
    <row r="32" spans="1:9" x14ac:dyDescent="0.25">
      <c r="A32" s="118" t="s">
        <v>52</v>
      </c>
      <c r="B32" s="119"/>
      <c r="C32" s="120"/>
      <c r="D32" s="125" t="s">
        <v>52</v>
      </c>
      <c r="E32" s="119"/>
      <c r="F32" s="120"/>
      <c r="G32" s="125" t="s">
        <v>52</v>
      </c>
      <c r="H32" s="119"/>
      <c r="I32" s="120"/>
    </row>
    <row r="33" spans="1:9" x14ac:dyDescent="0.25">
      <c r="A33" s="118" t="s">
        <v>52</v>
      </c>
      <c r="B33" s="119"/>
      <c r="C33" s="120"/>
      <c r="D33" s="125" t="s">
        <v>52</v>
      </c>
      <c r="E33" s="119"/>
      <c r="F33" s="120"/>
      <c r="G33" s="125" t="s">
        <v>52</v>
      </c>
      <c r="H33" s="119"/>
      <c r="I33" s="120"/>
    </row>
    <row r="34" spans="1:9" x14ac:dyDescent="0.25">
      <c r="A34" s="118" t="s">
        <v>52</v>
      </c>
      <c r="B34" s="119"/>
      <c r="C34" s="120"/>
      <c r="D34" s="125" t="s">
        <v>52</v>
      </c>
      <c r="E34" s="119"/>
      <c r="F34" s="120"/>
      <c r="G34" s="125" t="s">
        <v>52</v>
      </c>
      <c r="H34" s="119"/>
      <c r="I34" s="120"/>
    </row>
    <row r="35" spans="1:9" x14ac:dyDescent="0.25">
      <c r="A35" s="121" t="s">
        <v>347</v>
      </c>
      <c r="B35" s="122"/>
      <c r="C35" s="123"/>
      <c r="D35" s="126" t="s">
        <v>347</v>
      </c>
      <c r="E35" s="122"/>
      <c r="F35" s="123"/>
      <c r="G35" s="126" t="s">
        <v>347</v>
      </c>
      <c r="H35" s="122"/>
      <c r="I35" s="123"/>
    </row>
    <row r="36" spans="1:9" x14ac:dyDescent="0.25">
      <c r="A36" s="50" t="s">
        <v>305</v>
      </c>
    </row>
    <row r="37" spans="1:9" ht="12.75" customHeight="1" x14ac:dyDescent="0.25">
      <c r="A37" s="68" t="s">
        <v>52</v>
      </c>
      <c r="B37" s="63"/>
      <c r="C37" s="63"/>
      <c r="D37" s="63"/>
      <c r="E37" s="63"/>
      <c r="F37" s="63"/>
      <c r="G37" s="63"/>
      <c r="H37" s="63"/>
      <c r="I37" s="63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89" t="s">
        <v>273</v>
      </c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60" t="s">
        <v>1</v>
      </c>
      <c r="B2" s="61"/>
      <c r="C2" s="69" t="str">
        <f>'Stavební rozpočet'!C2</f>
        <v>Novostavba Chodníku a parkovacích stání ul Fugnerova</v>
      </c>
      <c r="D2" s="70"/>
      <c r="E2" s="67" t="s">
        <v>5</v>
      </c>
      <c r="F2" s="67" t="str">
        <f>'Stavební rozpočet'!I2</f>
        <v> </v>
      </c>
      <c r="G2" s="61"/>
      <c r="H2" s="67" t="s">
        <v>307</v>
      </c>
      <c r="I2" s="72" t="s">
        <v>52</v>
      </c>
    </row>
    <row r="3" spans="1:9" ht="15" customHeight="1" x14ac:dyDescent="0.25">
      <c r="A3" s="62"/>
      <c r="B3" s="63"/>
      <c r="C3" s="71"/>
      <c r="D3" s="71"/>
      <c r="E3" s="63"/>
      <c r="F3" s="63"/>
      <c r="G3" s="63"/>
      <c r="H3" s="63"/>
      <c r="I3" s="73"/>
    </row>
    <row r="4" spans="1:9" x14ac:dyDescent="0.25">
      <c r="A4" s="64" t="s">
        <v>7</v>
      </c>
      <c r="B4" s="63"/>
      <c r="C4" s="68" t="str">
        <f>'Stavební rozpočet'!C4</f>
        <v>Novostavba chodníku a podélného parkovacího stání</v>
      </c>
      <c r="D4" s="63"/>
      <c r="E4" s="68" t="s">
        <v>11</v>
      </c>
      <c r="F4" s="68" t="str">
        <f>'Stavební rozpočet'!I4</f>
        <v>Bau-projekt spol s.r.o.</v>
      </c>
      <c r="G4" s="63"/>
      <c r="H4" s="68" t="s">
        <v>307</v>
      </c>
      <c r="I4" s="73" t="s">
        <v>308</v>
      </c>
    </row>
    <row r="5" spans="1:9" ht="15" customHeight="1" x14ac:dyDescent="0.25">
      <c r="A5" s="62"/>
      <c r="B5" s="63"/>
      <c r="C5" s="63"/>
      <c r="D5" s="63"/>
      <c r="E5" s="63"/>
      <c r="F5" s="63"/>
      <c r="G5" s="63"/>
      <c r="H5" s="63"/>
      <c r="I5" s="73"/>
    </row>
    <row r="6" spans="1:9" x14ac:dyDescent="0.25">
      <c r="A6" s="64" t="s">
        <v>13</v>
      </c>
      <c r="B6" s="63"/>
      <c r="C6" s="68" t="str">
        <f>'Stavební rozpočet'!C6</f>
        <v>Fugnerova ul. Bílina</v>
      </c>
      <c r="D6" s="63"/>
      <c r="E6" s="68" t="s">
        <v>17</v>
      </c>
      <c r="F6" s="68" t="str">
        <f>'Stavební rozpočet'!I6</f>
        <v> </v>
      </c>
      <c r="G6" s="63"/>
      <c r="H6" s="68" t="s">
        <v>307</v>
      </c>
      <c r="I6" s="73" t="s">
        <v>52</v>
      </c>
    </row>
    <row r="7" spans="1:9" ht="15" customHeight="1" x14ac:dyDescent="0.25">
      <c r="A7" s="62"/>
      <c r="B7" s="63"/>
      <c r="C7" s="63"/>
      <c r="D7" s="63"/>
      <c r="E7" s="63"/>
      <c r="F7" s="63"/>
      <c r="G7" s="63"/>
      <c r="H7" s="63"/>
      <c r="I7" s="73"/>
    </row>
    <row r="8" spans="1:9" x14ac:dyDescent="0.25">
      <c r="A8" s="64" t="s">
        <v>9</v>
      </c>
      <c r="B8" s="63"/>
      <c r="C8" s="68" t="str">
        <f>'Stavební rozpočet'!G4</f>
        <v>01.04.2024</v>
      </c>
      <c r="D8" s="63"/>
      <c r="E8" s="68" t="s">
        <v>15</v>
      </c>
      <c r="F8" s="68" t="str">
        <f>'Stavební rozpočet'!G6</f>
        <v>30.11.2024</v>
      </c>
      <c r="G8" s="63"/>
      <c r="H8" s="63" t="s">
        <v>309</v>
      </c>
      <c r="I8" s="91">
        <v>62</v>
      </c>
    </row>
    <row r="9" spans="1:9" x14ac:dyDescent="0.25">
      <c r="A9" s="62"/>
      <c r="B9" s="63"/>
      <c r="C9" s="63"/>
      <c r="D9" s="63"/>
      <c r="E9" s="63"/>
      <c r="F9" s="63"/>
      <c r="G9" s="63"/>
      <c r="H9" s="63"/>
      <c r="I9" s="73"/>
    </row>
    <row r="10" spans="1:9" x14ac:dyDescent="0.25">
      <c r="A10" s="64" t="s">
        <v>18</v>
      </c>
      <c r="B10" s="63"/>
      <c r="C10" s="68" t="str">
        <f>'Stavební rozpočet'!C8</f>
        <v xml:space="preserve"> </v>
      </c>
      <c r="D10" s="63"/>
      <c r="E10" s="68" t="s">
        <v>22</v>
      </c>
      <c r="F10" s="68" t="str">
        <f>'Stavební rozpočet'!I8</f>
        <v> </v>
      </c>
      <c r="G10" s="63"/>
      <c r="H10" s="63" t="s">
        <v>310</v>
      </c>
      <c r="I10" s="92" t="str">
        <f>'Stavební rozpočet'!G8</f>
        <v>04.09.2023</v>
      </c>
    </row>
    <row r="11" spans="1:9" x14ac:dyDescent="0.25">
      <c r="A11" s="90"/>
      <c r="B11" s="87"/>
      <c r="C11" s="87"/>
      <c r="D11" s="87"/>
      <c r="E11" s="87"/>
      <c r="F11" s="87"/>
      <c r="G11" s="87"/>
      <c r="H11" s="87"/>
      <c r="I11" s="93"/>
    </row>
    <row r="13" spans="1:9" ht="15.75" x14ac:dyDescent="0.25">
      <c r="A13" s="127" t="s">
        <v>348</v>
      </c>
      <c r="B13" s="127"/>
      <c r="C13" s="127"/>
      <c r="D13" s="127"/>
      <c r="E13" s="127"/>
    </row>
    <row r="14" spans="1:9" x14ac:dyDescent="0.25">
      <c r="A14" s="128" t="s">
        <v>349</v>
      </c>
      <c r="B14" s="129"/>
      <c r="C14" s="129"/>
      <c r="D14" s="129"/>
      <c r="E14" s="130"/>
      <c r="F14" s="51" t="s">
        <v>350</v>
      </c>
      <c r="G14" s="51" t="s">
        <v>351</v>
      </c>
      <c r="H14" s="51" t="s">
        <v>352</v>
      </c>
      <c r="I14" s="51" t="s">
        <v>350</v>
      </c>
    </row>
    <row r="15" spans="1:9" x14ac:dyDescent="0.25">
      <c r="A15" s="131" t="s">
        <v>320</v>
      </c>
      <c r="B15" s="132"/>
      <c r="C15" s="132"/>
      <c r="D15" s="132"/>
      <c r="E15" s="133"/>
      <c r="F15" s="52">
        <v>0</v>
      </c>
      <c r="G15" s="53" t="s">
        <v>52</v>
      </c>
      <c r="H15" s="53" t="s">
        <v>52</v>
      </c>
      <c r="I15" s="52">
        <f>F15</f>
        <v>0</v>
      </c>
    </row>
    <row r="16" spans="1:9" x14ac:dyDescent="0.25">
      <c r="A16" s="131" t="s">
        <v>321</v>
      </c>
      <c r="B16" s="132"/>
      <c r="C16" s="132"/>
      <c r="D16" s="132"/>
      <c r="E16" s="133"/>
      <c r="F16" s="52">
        <v>0</v>
      </c>
      <c r="G16" s="53" t="s">
        <v>52</v>
      </c>
      <c r="H16" s="53" t="s">
        <v>52</v>
      </c>
      <c r="I16" s="52">
        <f>F16</f>
        <v>0</v>
      </c>
    </row>
    <row r="17" spans="1:9" x14ac:dyDescent="0.25">
      <c r="A17" s="134" t="s">
        <v>324</v>
      </c>
      <c r="B17" s="135"/>
      <c r="C17" s="135"/>
      <c r="D17" s="135"/>
      <c r="E17" s="136"/>
      <c r="F17" s="54">
        <v>0</v>
      </c>
      <c r="G17" s="55" t="s">
        <v>52</v>
      </c>
      <c r="H17" s="55" t="s">
        <v>52</v>
      </c>
      <c r="I17" s="54">
        <f>F17</f>
        <v>0</v>
      </c>
    </row>
    <row r="18" spans="1:9" x14ac:dyDescent="0.25">
      <c r="A18" s="137" t="s">
        <v>353</v>
      </c>
      <c r="B18" s="138"/>
      <c r="C18" s="138"/>
      <c r="D18" s="138"/>
      <c r="E18" s="139"/>
      <c r="F18" s="56" t="s">
        <v>52</v>
      </c>
      <c r="G18" s="57" t="s">
        <v>52</v>
      </c>
      <c r="H18" s="57" t="s">
        <v>52</v>
      </c>
      <c r="I18" s="58">
        <f>SUM(I15:I17)</f>
        <v>0</v>
      </c>
    </row>
    <row r="20" spans="1:9" x14ac:dyDescent="0.25">
      <c r="A20" s="128" t="s">
        <v>317</v>
      </c>
      <c r="B20" s="129"/>
      <c r="C20" s="129"/>
      <c r="D20" s="129"/>
      <c r="E20" s="130"/>
      <c r="F20" s="51" t="s">
        <v>350</v>
      </c>
      <c r="G20" s="51" t="s">
        <v>351</v>
      </c>
      <c r="H20" s="51" t="s">
        <v>352</v>
      </c>
      <c r="I20" s="51" t="s">
        <v>350</v>
      </c>
    </row>
    <row r="21" spans="1:9" x14ac:dyDescent="0.25">
      <c r="A21" s="131" t="s">
        <v>288</v>
      </c>
      <c r="B21" s="132"/>
      <c r="C21" s="132"/>
      <c r="D21" s="132"/>
      <c r="E21" s="133"/>
      <c r="F21" s="52">
        <v>0</v>
      </c>
      <c r="G21" s="53" t="s">
        <v>52</v>
      </c>
      <c r="H21" s="53" t="s">
        <v>52</v>
      </c>
      <c r="I21" s="52">
        <f t="shared" ref="I21:I26" si="0">F21</f>
        <v>0</v>
      </c>
    </row>
    <row r="22" spans="1:9" x14ac:dyDescent="0.25">
      <c r="A22" s="131" t="s">
        <v>322</v>
      </c>
      <c r="B22" s="132"/>
      <c r="C22" s="132"/>
      <c r="D22" s="132"/>
      <c r="E22" s="133"/>
      <c r="F22" s="52">
        <v>0</v>
      </c>
      <c r="G22" s="53" t="s">
        <v>52</v>
      </c>
      <c r="H22" s="53" t="s">
        <v>52</v>
      </c>
      <c r="I22" s="52">
        <f t="shared" si="0"/>
        <v>0</v>
      </c>
    </row>
    <row r="23" spans="1:9" x14ac:dyDescent="0.25">
      <c r="A23" s="131" t="s">
        <v>325</v>
      </c>
      <c r="B23" s="132"/>
      <c r="C23" s="132"/>
      <c r="D23" s="132"/>
      <c r="E23" s="133"/>
      <c r="F23" s="52">
        <v>0</v>
      </c>
      <c r="G23" s="53" t="s">
        <v>52</v>
      </c>
      <c r="H23" s="53" t="s">
        <v>52</v>
      </c>
      <c r="I23" s="52">
        <f t="shared" si="0"/>
        <v>0</v>
      </c>
    </row>
    <row r="24" spans="1:9" x14ac:dyDescent="0.25">
      <c r="A24" s="131" t="s">
        <v>299</v>
      </c>
      <c r="B24" s="132"/>
      <c r="C24" s="132"/>
      <c r="D24" s="132"/>
      <c r="E24" s="133"/>
      <c r="F24" s="52">
        <v>0</v>
      </c>
      <c r="G24" s="53" t="s">
        <v>52</v>
      </c>
      <c r="H24" s="53" t="s">
        <v>52</v>
      </c>
      <c r="I24" s="52">
        <f t="shared" si="0"/>
        <v>0</v>
      </c>
    </row>
    <row r="25" spans="1:9" x14ac:dyDescent="0.25">
      <c r="A25" s="131" t="s">
        <v>327</v>
      </c>
      <c r="B25" s="132"/>
      <c r="C25" s="132"/>
      <c r="D25" s="132"/>
      <c r="E25" s="133"/>
      <c r="F25" s="52">
        <v>0</v>
      </c>
      <c r="G25" s="53" t="s">
        <v>52</v>
      </c>
      <c r="H25" s="53" t="s">
        <v>52</v>
      </c>
      <c r="I25" s="52">
        <f t="shared" si="0"/>
        <v>0</v>
      </c>
    </row>
    <row r="26" spans="1:9" x14ac:dyDescent="0.25">
      <c r="A26" s="134" t="s">
        <v>328</v>
      </c>
      <c r="B26" s="135"/>
      <c r="C26" s="135"/>
      <c r="D26" s="135"/>
      <c r="E26" s="136"/>
      <c r="F26" s="54">
        <v>0</v>
      </c>
      <c r="G26" s="55" t="s">
        <v>52</v>
      </c>
      <c r="H26" s="55" t="s">
        <v>52</v>
      </c>
      <c r="I26" s="54">
        <f t="shared" si="0"/>
        <v>0</v>
      </c>
    </row>
    <row r="27" spans="1:9" x14ac:dyDescent="0.25">
      <c r="A27" s="137" t="s">
        <v>354</v>
      </c>
      <c r="B27" s="138"/>
      <c r="C27" s="138"/>
      <c r="D27" s="138"/>
      <c r="E27" s="139"/>
      <c r="F27" s="56" t="s">
        <v>52</v>
      </c>
      <c r="G27" s="57" t="s">
        <v>52</v>
      </c>
      <c r="H27" s="57" t="s">
        <v>52</v>
      </c>
      <c r="I27" s="58">
        <f>SUM(I21:I26)</f>
        <v>0</v>
      </c>
    </row>
    <row r="29" spans="1:9" ht="15.75" x14ac:dyDescent="0.25">
      <c r="A29" s="140" t="s">
        <v>355</v>
      </c>
      <c r="B29" s="141"/>
      <c r="C29" s="141"/>
      <c r="D29" s="141"/>
      <c r="E29" s="142"/>
      <c r="F29" s="143">
        <f>I18+I27</f>
        <v>0</v>
      </c>
      <c r="G29" s="144"/>
      <c r="H29" s="144"/>
      <c r="I29" s="145"/>
    </row>
    <row r="33" spans="1:9" ht="15.75" x14ac:dyDescent="0.25">
      <c r="A33" s="127" t="s">
        <v>356</v>
      </c>
      <c r="B33" s="127"/>
      <c r="C33" s="127"/>
      <c r="D33" s="127"/>
      <c r="E33" s="127"/>
    </row>
    <row r="34" spans="1:9" x14ac:dyDescent="0.25">
      <c r="A34" s="128" t="s">
        <v>357</v>
      </c>
      <c r="B34" s="129"/>
      <c r="C34" s="129"/>
      <c r="D34" s="129"/>
      <c r="E34" s="130"/>
      <c r="F34" s="51" t="s">
        <v>350</v>
      </c>
      <c r="G34" s="51" t="s">
        <v>351</v>
      </c>
      <c r="H34" s="51" t="s">
        <v>352</v>
      </c>
      <c r="I34" s="51" t="s">
        <v>350</v>
      </c>
    </row>
    <row r="35" spans="1:9" x14ac:dyDescent="0.25">
      <c r="A35" s="131" t="s">
        <v>275</v>
      </c>
      <c r="B35" s="132"/>
      <c r="C35" s="132"/>
      <c r="D35" s="132"/>
      <c r="E35" s="133"/>
      <c r="F35" s="52">
        <f>SUM('Stavební rozpočet'!BM12:BM93)</f>
        <v>0</v>
      </c>
      <c r="G35" s="53" t="s">
        <v>52</v>
      </c>
      <c r="H35" s="53" t="s">
        <v>52</v>
      </c>
      <c r="I35" s="52">
        <f t="shared" ref="I35:I44" si="1">F35</f>
        <v>0</v>
      </c>
    </row>
    <row r="36" spans="1:9" x14ac:dyDescent="0.25">
      <c r="A36" s="131" t="s">
        <v>358</v>
      </c>
      <c r="B36" s="132"/>
      <c r="C36" s="132"/>
      <c r="D36" s="132"/>
      <c r="E36" s="133"/>
      <c r="F36" s="52">
        <f>SUM('Stavební rozpočet'!BN12:BN93)</f>
        <v>0</v>
      </c>
      <c r="G36" s="53" t="s">
        <v>52</v>
      </c>
      <c r="H36" s="53" t="s">
        <v>52</v>
      </c>
      <c r="I36" s="52">
        <f t="shared" si="1"/>
        <v>0</v>
      </c>
    </row>
    <row r="37" spans="1:9" x14ac:dyDescent="0.25">
      <c r="A37" s="131" t="s">
        <v>288</v>
      </c>
      <c r="B37" s="132"/>
      <c r="C37" s="132"/>
      <c r="D37" s="132"/>
      <c r="E37" s="133"/>
      <c r="F37" s="52">
        <f>SUM('Stavební rozpočet'!BO12:BO93)</f>
        <v>0</v>
      </c>
      <c r="G37" s="53" t="s">
        <v>52</v>
      </c>
      <c r="H37" s="53" t="s">
        <v>52</v>
      </c>
      <c r="I37" s="52">
        <f t="shared" si="1"/>
        <v>0</v>
      </c>
    </row>
    <row r="38" spans="1:9" x14ac:dyDescent="0.25">
      <c r="A38" s="131" t="s">
        <v>293</v>
      </c>
      <c r="B38" s="132"/>
      <c r="C38" s="132"/>
      <c r="D38" s="132"/>
      <c r="E38" s="133"/>
      <c r="F38" s="52">
        <f>SUM('Stavební rozpočet'!BP12:BP93)</f>
        <v>0</v>
      </c>
      <c r="G38" s="53" t="s">
        <v>52</v>
      </c>
      <c r="H38" s="53" t="s">
        <v>52</v>
      </c>
      <c r="I38" s="52">
        <f t="shared" si="1"/>
        <v>0</v>
      </c>
    </row>
    <row r="39" spans="1:9" x14ac:dyDescent="0.25">
      <c r="A39" s="131" t="s">
        <v>359</v>
      </c>
      <c r="B39" s="132"/>
      <c r="C39" s="132"/>
      <c r="D39" s="132"/>
      <c r="E39" s="133"/>
      <c r="F39" s="52">
        <f>SUM('Stavební rozpočet'!BQ12:BQ93)</f>
        <v>0</v>
      </c>
      <c r="G39" s="53" t="s">
        <v>52</v>
      </c>
      <c r="H39" s="53" t="s">
        <v>52</v>
      </c>
      <c r="I39" s="52">
        <f t="shared" si="1"/>
        <v>0</v>
      </c>
    </row>
    <row r="40" spans="1:9" x14ac:dyDescent="0.25">
      <c r="A40" s="131" t="s">
        <v>325</v>
      </c>
      <c r="B40" s="132"/>
      <c r="C40" s="132"/>
      <c r="D40" s="132"/>
      <c r="E40" s="133"/>
      <c r="F40" s="52">
        <f>SUM('Stavební rozpočet'!BR12:BR93)</f>
        <v>0</v>
      </c>
      <c r="G40" s="53" t="s">
        <v>52</v>
      </c>
      <c r="H40" s="53" t="s">
        <v>52</v>
      </c>
      <c r="I40" s="52">
        <f t="shared" si="1"/>
        <v>0</v>
      </c>
    </row>
    <row r="41" spans="1:9" x14ac:dyDescent="0.25">
      <c r="A41" s="131" t="s">
        <v>299</v>
      </c>
      <c r="B41" s="132"/>
      <c r="C41" s="132"/>
      <c r="D41" s="132"/>
      <c r="E41" s="133"/>
      <c r="F41" s="52">
        <f>SUM('Stavební rozpočet'!BS12:BS93)</f>
        <v>0</v>
      </c>
      <c r="G41" s="53" t="s">
        <v>52</v>
      </c>
      <c r="H41" s="53" t="s">
        <v>52</v>
      </c>
      <c r="I41" s="52">
        <f t="shared" si="1"/>
        <v>0</v>
      </c>
    </row>
    <row r="42" spans="1:9" x14ac:dyDescent="0.25">
      <c r="A42" s="131" t="s">
        <v>360</v>
      </c>
      <c r="B42" s="132"/>
      <c r="C42" s="132"/>
      <c r="D42" s="132"/>
      <c r="E42" s="133"/>
      <c r="F42" s="52">
        <f>SUM('Stavební rozpočet'!BT12:BT93)</f>
        <v>0</v>
      </c>
      <c r="G42" s="53" t="s">
        <v>52</v>
      </c>
      <c r="H42" s="53" t="s">
        <v>52</v>
      </c>
      <c r="I42" s="52">
        <f t="shared" si="1"/>
        <v>0</v>
      </c>
    </row>
    <row r="43" spans="1:9" x14ac:dyDescent="0.25">
      <c r="A43" s="131" t="s">
        <v>361</v>
      </c>
      <c r="B43" s="132"/>
      <c r="C43" s="132"/>
      <c r="D43" s="132"/>
      <c r="E43" s="133"/>
      <c r="F43" s="52">
        <f>SUM('Stavební rozpočet'!BU12:BU93)</f>
        <v>0</v>
      </c>
      <c r="G43" s="53" t="s">
        <v>52</v>
      </c>
      <c r="H43" s="53" t="s">
        <v>52</v>
      </c>
      <c r="I43" s="52">
        <f t="shared" si="1"/>
        <v>0</v>
      </c>
    </row>
    <row r="44" spans="1:9" x14ac:dyDescent="0.25">
      <c r="A44" s="134" t="s">
        <v>362</v>
      </c>
      <c r="B44" s="135"/>
      <c r="C44" s="135"/>
      <c r="D44" s="135"/>
      <c r="E44" s="136"/>
      <c r="F44" s="54">
        <f>SUM('Stavební rozpočet'!BV12:BV93)</f>
        <v>0</v>
      </c>
      <c r="G44" s="55" t="s">
        <v>52</v>
      </c>
      <c r="H44" s="55" t="s">
        <v>52</v>
      </c>
      <c r="I44" s="54">
        <f t="shared" si="1"/>
        <v>0</v>
      </c>
    </row>
    <row r="45" spans="1:9" x14ac:dyDescent="0.25">
      <c r="A45" s="137" t="s">
        <v>363</v>
      </c>
      <c r="B45" s="138"/>
      <c r="C45" s="138"/>
      <c r="D45" s="138"/>
      <c r="E45" s="139"/>
      <c r="F45" s="56" t="s">
        <v>52</v>
      </c>
      <c r="G45" s="57" t="s">
        <v>52</v>
      </c>
      <c r="H45" s="57" t="s">
        <v>52</v>
      </c>
      <c r="I45" s="58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Dušková Jaroslava Ing.</cp:lastModifiedBy>
  <dcterms:created xsi:type="dcterms:W3CDTF">2021-06-10T20:06:38Z</dcterms:created>
  <dcterms:modified xsi:type="dcterms:W3CDTF">2025-02-05T14:56:46Z</dcterms:modified>
</cp:coreProperties>
</file>