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Rozšíření parkoviště Čapkova na p. p. č. 9371 a 93735, Bílina\Odpověď č. 3\"/>
    </mc:Choice>
  </mc:AlternateContent>
  <xr:revisionPtr revIDLastSave="0" documentId="8_{F4F8262C-5B67-46CE-9846-EBD9C36D0189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Stavební rozpočet" sheetId="1" r:id="rId1"/>
    <sheet name="Krycí list rozpočtu" sheetId="2" r:id="rId2"/>
    <sheet name="VORN" sheetId="3" r:id="rId3"/>
  </sheets>
  <definedNames>
    <definedName name="vorn_sum">VORN!$I$45</definedName>
  </definedNames>
  <calcPr calcId="191029"/>
</workbook>
</file>

<file path=xl/calcChain.xml><?xml version="1.0" encoding="utf-8"?>
<calcChain xmlns="http://schemas.openxmlformats.org/spreadsheetml/2006/main">
  <c r="F44" i="3" l="1"/>
  <c r="I44" i="3" s="1"/>
  <c r="F43" i="3"/>
  <c r="I43" i="3" s="1"/>
  <c r="F42" i="3"/>
  <c r="I42" i="3" s="1"/>
  <c r="F40" i="3"/>
  <c r="I40" i="3" s="1"/>
  <c r="I39" i="3"/>
  <c r="F39" i="3"/>
  <c r="F38" i="3"/>
  <c r="I38" i="3" s="1"/>
  <c r="F36" i="3"/>
  <c r="I36" i="3" s="1"/>
  <c r="I26" i="3"/>
  <c r="I25" i="3"/>
  <c r="I24" i="3"/>
  <c r="I23" i="3"/>
  <c r="I16" i="2" s="1"/>
  <c r="I22" i="3"/>
  <c r="I15" i="2" s="1"/>
  <c r="I21" i="3"/>
  <c r="I14" i="2" s="1"/>
  <c r="I22" i="2" s="1"/>
  <c r="I17" i="3"/>
  <c r="F16" i="2" s="1"/>
  <c r="I16" i="3"/>
  <c r="I15" i="3"/>
  <c r="F14" i="2" s="1"/>
  <c r="I10" i="3"/>
  <c r="F10" i="3"/>
  <c r="C10" i="3"/>
  <c r="F8" i="3"/>
  <c r="C8" i="3"/>
  <c r="F6" i="3"/>
  <c r="C6" i="3"/>
  <c r="F4" i="3"/>
  <c r="C4" i="3"/>
  <c r="F2" i="3"/>
  <c r="C2" i="3"/>
  <c r="I19" i="2"/>
  <c r="I18" i="2"/>
  <c r="I17" i="2"/>
  <c r="F15" i="2"/>
  <c r="I10" i="2"/>
  <c r="F10" i="2"/>
  <c r="C10" i="2"/>
  <c r="F8" i="2"/>
  <c r="C8" i="2"/>
  <c r="F6" i="2"/>
  <c r="C6" i="2"/>
  <c r="F4" i="2"/>
  <c r="C4" i="2"/>
  <c r="F2" i="2"/>
  <c r="C2" i="2"/>
  <c r="BS141" i="1"/>
  <c r="F41" i="3" s="1"/>
  <c r="I41" i="3" s="1"/>
  <c r="BJ141" i="1"/>
  <c r="BF141" i="1"/>
  <c r="BD141" i="1"/>
  <c r="AX141" i="1"/>
  <c r="BC141" i="1" s="1"/>
  <c r="AW141" i="1"/>
  <c r="AP141" i="1"/>
  <c r="BI141" i="1" s="1"/>
  <c r="AO141" i="1"/>
  <c r="BH141" i="1" s="1"/>
  <c r="AK141" i="1"/>
  <c r="AJ141" i="1"/>
  <c r="AH141" i="1"/>
  <c r="AG141" i="1"/>
  <c r="AF141" i="1"/>
  <c r="AE141" i="1"/>
  <c r="AD141" i="1"/>
  <c r="AC141" i="1"/>
  <c r="AB141" i="1"/>
  <c r="Z141" i="1"/>
  <c r="K141" i="1"/>
  <c r="AL141" i="1" s="1"/>
  <c r="AU140" i="1" s="1"/>
  <c r="I141" i="1"/>
  <c r="AT140" i="1"/>
  <c r="AS140" i="1"/>
  <c r="I140" i="1"/>
  <c r="BP139" i="1"/>
  <c r="BJ139" i="1"/>
  <c r="BH139" i="1"/>
  <c r="BF139" i="1"/>
  <c r="BD139" i="1"/>
  <c r="AX139" i="1"/>
  <c r="BC139" i="1" s="1"/>
  <c r="AW139" i="1"/>
  <c r="AP139" i="1"/>
  <c r="BI139" i="1" s="1"/>
  <c r="AO139" i="1"/>
  <c r="AK139" i="1"/>
  <c r="AJ139" i="1"/>
  <c r="AH139" i="1"/>
  <c r="AG139" i="1"/>
  <c r="AF139" i="1"/>
  <c r="AE139" i="1"/>
  <c r="AD139" i="1"/>
  <c r="AC139" i="1"/>
  <c r="AB139" i="1"/>
  <c r="Z139" i="1"/>
  <c r="K139" i="1"/>
  <c r="AL139" i="1" s="1"/>
  <c r="I139" i="1"/>
  <c r="BP138" i="1"/>
  <c r="BJ138" i="1"/>
  <c r="BF138" i="1"/>
  <c r="BD138" i="1"/>
  <c r="AW138" i="1"/>
  <c r="AP138" i="1"/>
  <c r="BI138" i="1" s="1"/>
  <c r="AO138" i="1"/>
  <c r="BH138" i="1" s="1"/>
  <c r="AK138" i="1"/>
  <c r="AT137" i="1" s="1"/>
  <c r="AJ138" i="1"/>
  <c r="AH138" i="1"/>
  <c r="AG138" i="1"/>
  <c r="AF138" i="1"/>
  <c r="AE138" i="1"/>
  <c r="AD138" i="1"/>
  <c r="AC138" i="1"/>
  <c r="AB138" i="1"/>
  <c r="Z138" i="1"/>
  <c r="K138" i="1"/>
  <c r="AL138" i="1" s="1"/>
  <c r="AU137" i="1" s="1"/>
  <c r="J138" i="1"/>
  <c r="AS137" i="1"/>
  <c r="BO136" i="1"/>
  <c r="F37" i="3" s="1"/>
  <c r="I37" i="3" s="1"/>
  <c r="BJ136" i="1"/>
  <c r="BF136" i="1"/>
  <c r="BD136" i="1"/>
  <c r="AW136" i="1"/>
  <c r="AP136" i="1"/>
  <c r="BI136" i="1" s="1"/>
  <c r="AO136" i="1"/>
  <c r="BH136" i="1" s="1"/>
  <c r="AK136" i="1"/>
  <c r="AT135" i="1" s="1"/>
  <c r="AJ136" i="1"/>
  <c r="AH136" i="1"/>
  <c r="AG136" i="1"/>
  <c r="AF136" i="1"/>
  <c r="AE136" i="1"/>
  <c r="AD136" i="1"/>
  <c r="AC136" i="1"/>
  <c r="AB136" i="1"/>
  <c r="Z136" i="1"/>
  <c r="K136" i="1"/>
  <c r="AL136" i="1" s="1"/>
  <c r="AU135" i="1" s="1"/>
  <c r="J136" i="1"/>
  <c r="J135" i="1" s="1"/>
  <c r="AS135" i="1"/>
  <c r="K135" i="1"/>
  <c r="BM134" i="1"/>
  <c r="BJ134" i="1"/>
  <c r="BF134" i="1"/>
  <c r="BD134" i="1"/>
  <c r="AW134" i="1"/>
  <c r="AP134" i="1"/>
  <c r="BI134" i="1" s="1"/>
  <c r="AO134" i="1"/>
  <c r="BH134" i="1" s="1"/>
  <c r="AK134" i="1"/>
  <c r="AJ134" i="1"/>
  <c r="AH134" i="1"/>
  <c r="AG134" i="1"/>
  <c r="AF134" i="1"/>
  <c r="AE134" i="1"/>
  <c r="AD134" i="1"/>
  <c r="AC134" i="1"/>
  <c r="AB134" i="1"/>
  <c r="Z134" i="1"/>
  <c r="K134" i="1"/>
  <c r="AL134" i="1" s="1"/>
  <c r="J134" i="1"/>
  <c r="BM133" i="1"/>
  <c r="F35" i="3" s="1"/>
  <c r="I35" i="3" s="1"/>
  <c r="BJ133" i="1"/>
  <c r="BI133" i="1"/>
  <c r="BH133" i="1"/>
  <c r="BF133" i="1"/>
  <c r="BD133" i="1"/>
  <c r="AX133" i="1"/>
  <c r="AP133" i="1"/>
  <c r="AO133" i="1"/>
  <c r="AW133" i="1" s="1"/>
  <c r="AL133" i="1"/>
  <c r="AK133" i="1"/>
  <c r="AT131" i="1" s="1"/>
  <c r="AJ133" i="1"/>
  <c r="AH133" i="1"/>
  <c r="AG133" i="1"/>
  <c r="AF133" i="1"/>
  <c r="AE133" i="1"/>
  <c r="AD133" i="1"/>
  <c r="AC133" i="1"/>
  <c r="AB133" i="1"/>
  <c r="Z133" i="1"/>
  <c r="K133" i="1"/>
  <c r="J133" i="1"/>
  <c r="BM132" i="1"/>
  <c r="BJ132" i="1"/>
  <c r="BI132" i="1"/>
  <c r="BH132" i="1"/>
  <c r="BF132" i="1"/>
  <c r="BD132" i="1"/>
  <c r="AX132" i="1"/>
  <c r="AP132" i="1"/>
  <c r="AO132" i="1"/>
  <c r="AW132" i="1" s="1"/>
  <c r="AL132" i="1"/>
  <c r="AU131" i="1" s="1"/>
  <c r="AK132" i="1"/>
  <c r="AJ132" i="1"/>
  <c r="AH132" i="1"/>
  <c r="AG132" i="1"/>
  <c r="AF132" i="1"/>
  <c r="AE132" i="1"/>
  <c r="AD132" i="1"/>
  <c r="AC132" i="1"/>
  <c r="AB132" i="1"/>
  <c r="Z132" i="1"/>
  <c r="K132" i="1"/>
  <c r="K131" i="1" s="1"/>
  <c r="J132" i="1"/>
  <c r="J131" i="1" s="1"/>
  <c r="I132" i="1"/>
  <c r="AS131" i="1"/>
  <c r="BJ129" i="1"/>
  <c r="BF129" i="1"/>
  <c r="BD129" i="1"/>
  <c r="AX129" i="1"/>
  <c r="AP129" i="1"/>
  <c r="BI129" i="1" s="1"/>
  <c r="AO129" i="1"/>
  <c r="BH129" i="1" s="1"/>
  <c r="AK129" i="1"/>
  <c r="AJ129" i="1"/>
  <c r="AH129" i="1"/>
  <c r="AG129" i="1"/>
  <c r="AF129" i="1"/>
  <c r="AE129" i="1"/>
  <c r="AD129" i="1"/>
  <c r="AC129" i="1"/>
  <c r="AB129" i="1"/>
  <c r="Z129" i="1"/>
  <c r="K129" i="1"/>
  <c r="AL129" i="1" s="1"/>
  <c r="I129" i="1"/>
  <c r="BJ128" i="1"/>
  <c r="AH128" i="1" s="1"/>
  <c r="BI128" i="1"/>
  <c r="BF128" i="1"/>
  <c r="BD128" i="1"/>
  <c r="AX128" i="1"/>
  <c r="AP128" i="1"/>
  <c r="AO128" i="1"/>
  <c r="BH128" i="1" s="1"/>
  <c r="AL128" i="1"/>
  <c r="AK128" i="1"/>
  <c r="AJ128" i="1"/>
  <c r="AG128" i="1"/>
  <c r="AF128" i="1"/>
  <c r="AE128" i="1"/>
  <c r="AD128" i="1"/>
  <c r="AC128" i="1"/>
  <c r="AB128" i="1"/>
  <c r="Z128" i="1"/>
  <c r="K128" i="1"/>
  <c r="J128" i="1"/>
  <c r="I128" i="1"/>
  <c r="BJ127" i="1"/>
  <c r="BI127" i="1"/>
  <c r="BH127" i="1"/>
  <c r="BF127" i="1"/>
  <c r="BD127" i="1"/>
  <c r="AX127" i="1"/>
  <c r="AW127" i="1"/>
  <c r="BC127" i="1" s="1"/>
  <c r="AP127" i="1"/>
  <c r="AO127" i="1"/>
  <c r="I127" i="1" s="1"/>
  <c r="AK127" i="1"/>
  <c r="AJ127" i="1"/>
  <c r="AH127" i="1"/>
  <c r="AG127" i="1"/>
  <c r="AF127" i="1"/>
  <c r="AE127" i="1"/>
  <c r="AD127" i="1"/>
  <c r="AC127" i="1"/>
  <c r="AB127" i="1"/>
  <c r="Z127" i="1"/>
  <c r="K127" i="1"/>
  <c r="AL127" i="1" s="1"/>
  <c r="J127" i="1"/>
  <c r="BJ126" i="1"/>
  <c r="BF126" i="1"/>
  <c r="BD126" i="1"/>
  <c r="AX126" i="1"/>
  <c r="AP126" i="1"/>
  <c r="BI126" i="1" s="1"/>
  <c r="AO126" i="1"/>
  <c r="BH126" i="1" s="1"/>
  <c r="AL126" i="1"/>
  <c r="AK126" i="1"/>
  <c r="AJ126" i="1"/>
  <c r="AH126" i="1"/>
  <c r="AG126" i="1"/>
  <c r="AF126" i="1"/>
  <c r="AE126" i="1"/>
  <c r="AD126" i="1"/>
  <c r="AC126" i="1"/>
  <c r="AB126" i="1"/>
  <c r="Z126" i="1"/>
  <c r="K126" i="1"/>
  <c r="I126" i="1"/>
  <c r="BJ125" i="1"/>
  <c r="AH125" i="1" s="1"/>
  <c r="BI125" i="1"/>
  <c r="BH125" i="1"/>
  <c r="BF125" i="1"/>
  <c r="BD125" i="1"/>
  <c r="AX125" i="1"/>
  <c r="AP125" i="1"/>
  <c r="AO125" i="1"/>
  <c r="AW125" i="1" s="1"/>
  <c r="AL125" i="1"/>
  <c r="AK125" i="1"/>
  <c r="AJ125" i="1"/>
  <c r="AG125" i="1"/>
  <c r="AF125" i="1"/>
  <c r="AE125" i="1"/>
  <c r="AD125" i="1"/>
  <c r="AC125" i="1"/>
  <c r="AB125" i="1"/>
  <c r="Z125" i="1"/>
  <c r="K125" i="1"/>
  <c r="J125" i="1"/>
  <c r="BJ124" i="1"/>
  <c r="BH124" i="1"/>
  <c r="BF124" i="1"/>
  <c r="BD124" i="1"/>
  <c r="AW124" i="1"/>
  <c r="AP124" i="1"/>
  <c r="BI124" i="1" s="1"/>
  <c r="AO124" i="1"/>
  <c r="AK124" i="1"/>
  <c r="AJ124" i="1"/>
  <c r="AH124" i="1"/>
  <c r="AG124" i="1"/>
  <c r="AF124" i="1"/>
  <c r="AE124" i="1"/>
  <c r="AD124" i="1"/>
  <c r="AC124" i="1"/>
  <c r="AB124" i="1"/>
  <c r="Z124" i="1"/>
  <c r="K124" i="1"/>
  <c r="AL124" i="1" s="1"/>
  <c r="I124" i="1"/>
  <c r="BJ123" i="1"/>
  <c r="AH123" i="1" s="1"/>
  <c r="BF123" i="1"/>
  <c r="BD123" i="1"/>
  <c r="AX123" i="1"/>
  <c r="AP123" i="1"/>
  <c r="J123" i="1" s="1"/>
  <c r="AO123" i="1"/>
  <c r="AW123" i="1" s="1"/>
  <c r="AL123" i="1"/>
  <c r="AK123" i="1"/>
  <c r="AJ123" i="1"/>
  <c r="AG123" i="1"/>
  <c r="AF123" i="1"/>
  <c r="AE123" i="1"/>
  <c r="AD123" i="1"/>
  <c r="AC123" i="1"/>
  <c r="AB123" i="1"/>
  <c r="Z123" i="1"/>
  <c r="K123" i="1"/>
  <c r="I123" i="1"/>
  <c r="BJ122" i="1"/>
  <c r="AH122" i="1" s="1"/>
  <c r="BI122" i="1"/>
  <c r="BF122" i="1"/>
  <c r="BD122" i="1"/>
  <c r="AX122" i="1"/>
  <c r="AW122" i="1"/>
  <c r="BC122" i="1" s="1"/>
  <c r="AP122" i="1"/>
  <c r="AO122" i="1"/>
  <c r="BH122" i="1" s="1"/>
  <c r="AK122" i="1"/>
  <c r="AJ122" i="1"/>
  <c r="AG122" i="1"/>
  <c r="AF122" i="1"/>
  <c r="AE122" i="1"/>
  <c r="AD122" i="1"/>
  <c r="AC122" i="1"/>
  <c r="AB122" i="1"/>
  <c r="Z122" i="1"/>
  <c r="K122" i="1"/>
  <c r="AL122" i="1" s="1"/>
  <c r="J122" i="1"/>
  <c r="BJ121" i="1"/>
  <c r="BI121" i="1"/>
  <c r="BH121" i="1"/>
  <c r="BF121" i="1"/>
  <c r="BD121" i="1"/>
  <c r="AX121" i="1"/>
  <c r="AW121" i="1"/>
  <c r="BC121" i="1" s="1"/>
  <c r="AP121" i="1"/>
  <c r="J121" i="1" s="1"/>
  <c r="AO121" i="1"/>
  <c r="AK121" i="1"/>
  <c r="AJ121" i="1"/>
  <c r="AH121" i="1"/>
  <c r="AG121" i="1"/>
  <c r="AF121" i="1"/>
  <c r="AE121" i="1"/>
  <c r="AD121" i="1"/>
  <c r="AC121" i="1"/>
  <c r="AB121" i="1"/>
  <c r="Z121" i="1"/>
  <c r="K121" i="1"/>
  <c r="AL121" i="1" s="1"/>
  <c r="I121" i="1"/>
  <c r="BJ120" i="1"/>
  <c r="AH120" i="1" s="1"/>
  <c r="BH120" i="1"/>
  <c r="BF120" i="1"/>
  <c r="BD120" i="1"/>
  <c r="AW120" i="1"/>
  <c r="AP120" i="1"/>
  <c r="BI120" i="1" s="1"/>
  <c r="AO120" i="1"/>
  <c r="AL120" i="1"/>
  <c r="AK120" i="1"/>
  <c r="AJ120" i="1"/>
  <c r="AG120" i="1"/>
  <c r="AF120" i="1"/>
  <c r="AE120" i="1"/>
  <c r="AD120" i="1"/>
  <c r="AC120" i="1"/>
  <c r="AB120" i="1"/>
  <c r="Z120" i="1"/>
  <c r="K120" i="1"/>
  <c r="J120" i="1"/>
  <c r="I120" i="1"/>
  <c r="BJ119" i="1"/>
  <c r="BF119" i="1"/>
  <c r="BD119" i="1"/>
  <c r="AW119" i="1"/>
  <c r="AP119" i="1"/>
  <c r="BI119" i="1" s="1"/>
  <c r="AO119" i="1"/>
  <c r="BH119" i="1" s="1"/>
  <c r="AK119" i="1"/>
  <c r="AJ119" i="1"/>
  <c r="AH119" i="1"/>
  <c r="AG119" i="1"/>
  <c r="AF119" i="1"/>
  <c r="AE119" i="1"/>
  <c r="AD119" i="1"/>
  <c r="AC119" i="1"/>
  <c r="AB119" i="1"/>
  <c r="Z119" i="1"/>
  <c r="K119" i="1"/>
  <c r="AL119" i="1" s="1"/>
  <c r="J119" i="1"/>
  <c r="BJ118" i="1"/>
  <c r="BI118" i="1"/>
  <c r="BH118" i="1"/>
  <c r="BF118" i="1"/>
  <c r="BD118" i="1"/>
  <c r="AX118" i="1"/>
  <c r="BC118" i="1" s="1"/>
  <c r="AW118" i="1"/>
  <c r="AV118" i="1" s="1"/>
  <c r="AP118" i="1"/>
  <c r="J118" i="1" s="1"/>
  <c r="AO118" i="1"/>
  <c r="AK118" i="1"/>
  <c r="AJ118" i="1"/>
  <c r="AH118" i="1"/>
  <c r="AG118" i="1"/>
  <c r="AF118" i="1"/>
  <c r="AE118" i="1"/>
  <c r="AD118" i="1"/>
  <c r="AC118" i="1"/>
  <c r="AB118" i="1"/>
  <c r="Z118" i="1"/>
  <c r="K118" i="1"/>
  <c r="AL118" i="1" s="1"/>
  <c r="I118" i="1"/>
  <c r="BJ117" i="1"/>
  <c r="AH117" i="1" s="1"/>
  <c r="BF117" i="1"/>
  <c r="BD117" i="1"/>
  <c r="AP117" i="1"/>
  <c r="BI117" i="1" s="1"/>
  <c r="AO117" i="1"/>
  <c r="AW117" i="1" s="1"/>
  <c r="AK117" i="1"/>
  <c r="AJ117" i="1"/>
  <c r="AS116" i="1" s="1"/>
  <c r="AG117" i="1"/>
  <c r="AF117" i="1"/>
  <c r="AE117" i="1"/>
  <c r="AD117" i="1"/>
  <c r="AC117" i="1"/>
  <c r="AB117" i="1"/>
  <c r="Z117" i="1"/>
  <c r="K117" i="1"/>
  <c r="AL117" i="1" s="1"/>
  <c r="J117" i="1"/>
  <c r="AT116" i="1"/>
  <c r="BJ115" i="1"/>
  <c r="BF115" i="1"/>
  <c r="BD115" i="1"/>
  <c r="AX115" i="1"/>
  <c r="AP115" i="1"/>
  <c r="BI115" i="1" s="1"/>
  <c r="AO115" i="1"/>
  <c r="BH115" i="1" s="1"/>
  <c r="AL115" i="1"/>
  <c r="AK115" i="1"/>
  <c r="AJ115" i="1"/>
  <c r="AH115" i="1"/>
  <c r="AG115" i="1"/>
  <c r="AF115" i="1"/>
  <c r="AE115" i="1"/>
  <c r="AD115" i="1"/>
  <c r="AC115" i="1"/>
  <c r="AB115" i="1"/>
  <c r="Z115" i="1"/>
  <c r="K115" i="1"/>
  <c r="I115" i="1"/>
  <c r="BJ114" i="1"/>
  <c r="BI114" i="1"/>
  <c r="BH114" i="1"/>
  <c r="BF114" i="1"/>
  <c r="BD114" i="1"/>
  <c r="AX114" i="1"/>
  <c r="AP114" i="1"/>
  <c r="AO114" i="1"/>
  <c r="AW114" i="1" s="1"/>
  <c r="AL114" i="1"/>
  <c r="AK114" i="1"/>
  <c r="AJ114" i="1"/>
  <c r="AH114" i="1"/>
  <c r="AG114" i="1"/>
  <c r="AF114" i="1"/>
  <c r="AE114" i="1"/>
  <c r="AD114" i="1"/>
  <c r="AC114" i="1"/>
  <c r="AB114" i="1"/>
  <c r="Z114" i="1"/>
  <c r="K114" i="1"/>
  <c r="J114" i="1"/>
  <c r="BJ113" i="1"/>
  <c r="BH113" i="1"/>
  <c r="BF113" i="1"/>
  <c r="BD113" i="1"/>
  <c r="AW113" i="1"/>
  <c r="BC113" i="1" s="1"/>
  <c r="AP113" i="1"/>
  <c r="AX113" i="1" s="1"/>
  <c r="AO113" i="1"/>
  <c r="AK113" i="1"/>
  <c r="AJ113" i="1"/>
  <c r="AH113" i="1"/>
  <c r="AG113" i="1"/>
  <c r="AF113" i="1"/>
  <c r="AE113" i="1"/>
  <c r="AD113" i="1"/>
  <c r="AC113" i="1"/>
  <c r="AB113" i="1"/>
  <c r="Z113" i="1"/>
  <c r="K113" i="1"/>
  <c r="AL113" i="1" s="1"/>
  <c r="I113" i="1"/>
  <c r="BJ112" i="1"/>
  <c r="Z112" i="1" s="1"/>
  <c r="BF112" i="1"/>
  <c r="BD112" i="1"/>
  <c r="AX112" i="1"/>
  <c r="AP112" i="1"/>
  <c r="J112" i="1" s="1"/>
  <c r="AO112" i="1"/>
  <c r="AW112" i="1" s="1"/>
  <c r="AL112" i="1"/>
  <c r="AK112" i="1"/>
  <c r="AJ112" i="1"/>
  <c r="AH112" i="1"/>
  <c r="AG112" i="1"/>
  <c r="AF112" i="1"/>
  <c r="AE112" i="1"/>
  <c r="AD112" i="1"/>
  <c r="AC112" i="1"/>
  <c r="AB112" i="1"/>
  <c r="K112" i="1"/>
  <c r="I112" i="1"/>
  <c r="BJ111" i="1"/>
  <c r="BI111" i="1"/>
  <c r="BF111" i="1"/>
  <c r="BD111" i="1"/>
  <c r="AW111" i="1"/>
  <c r="AP111" i="1"/>
  <c r="AX111" i="1" s="1"/>
  <c r="AO111" i="1"/>
  <c r="BH111" i="1" s="1"/>
  <c r="AK111" i="1"/>
  <c r="AJ111" i="1"/>
  <c r="AS110" i="1" s="1"/>
  <c r="AH111" i="1"/>
  <c r="AG111" i="1"/>
  <c r="AF111" i="1"/>
  <c r="AE111" i="1"/>
  <c r="AD111" i="1"/>
  <c r="AC111" i="1"/>
  <c r="AB111" i="1"/>
  <c r="Z111" i="1"/>
  <c r="K111" i="1"/>
  <c r="K110" i="1" s="1"/>
  <c r="J111" i="1"/>
  <c r="AT110" i="1"/>
  <c r="BJ109" i="1"/>
  <c r="BI109" i="1"/>
  <c r="AG109" i="1" s="1"/>
  <c r="BH109" i="1"/>
  <c r="BF109" i="1"/>
  <c r="BD109" i="1"/>
  <c r="AX109" i="1"/>
  <c r="AP109" i="1"/>
  <c r="AO109" i="1"/>
  <c r="AW109" i="1" s="1"/>
  <c r="AL109" i="1"/>
  <c r="AK109" i="1"/>
  <c r="AJ109" i="1"/>
  <c r="AH109" i="1"/>
  <c r="AF109" i="1"/>
  <c r="AE109" i="1"/>
  <c r="AD109" i="1"/>
  <c r="AC109" i="1"/>
  <c r="AB109" i="1"/>
  <c r="Z109" i="1"/>
  <c r="K109" i="1"/>
  <c r="J109" i="1"/>
  <c r="I109" i="1"/>
  <c r="BJ108" i="1"/>
  <c r="BH108" i="1"/>
  <c r="AF108" i="1" s="1"/>
  <c r="BF108" i="1"/>
  <c r="BD108" i="1"/>
  <c r="AP108" i="1"/>
  <c r="AX108" i="1" s="1"/>
  <c r="AO108" i="1"/>
  <c r="I108" i="1" s="1"/>
  <c r="AK108" i="1"/>
  <c r="AJ108" i="1"/>
  <c r="AH108" i="1"/>
  <c r="AE108" i="1"/>
  <c r="AD108" i="1"/>
  <c r="AC108" i="1"/>
  <c r="AB108" i="1"/>
  <c r="Z108" i="1"/>
  <c r="K108" i="1"/>
  <c r="AL108" i="1" s="1"/>
  <c r="J108" i="1"/>
  <c r="BJ107" i="1"/>
  <c r="BF107" i="1"/>
  <c r="BD107" i="1"/>
  <c r="AX107" i="1"/>
  <c r="AP107" i="1"/>
  <c r="BI107" i="1" s="1"/>
  <c r="AG107" i="1" s="1"/>
  <c r="AO107" i="1"/>
  <c r="BH107" i="1" s="1"/>
  <c r="AF107" i="1" s="1"/>
  <c r="AK107" i="1"/>
  <c r="AJ107" i="1"/>
  <c r="AH107" i="1"/>
  <c r="AE107" i="1"/>
  <c r="AD107" i="1"/>
  <c r="AC107" i="1"/>
  <c r="AB107" i="1"/>
  <c r="Z107" i="1"/>
  <c r="K107" i="1"/>
  <c r="AL107" i="1" s="1"/>
  <c r="I107" i="1"/>
  <c r="BJ106" i="1"/>
  <c r="BI106" i="1"/>
  <c r="BF106" i="1"/>
  <c r="BD106" i="1"/>
  <c r="AX106" i="1"/>
  <c r="AP106" i="1"/>
  <c r="AO106" i="1"/>
  <c r="BH106" i="1" s="1"/>
  <c r="AF106" i="1" s="1"/>
  <c r="AL106" i="1"/>
  <c r="AK106" i="1"/>
  <c r="AJ106" i="1"/>
  <c r="AH106" i="1"/>
  <c r="AG106" i="1"/>
  <c r="AE106" i="1"/>
  <c r="AD106" i="1"/>
  <c r="AC106" i="1"/>
  <c r="AB106" i="1"/>
  <c r="Z106" i="1"/>
  <c r="K106" i="1"/>
  <c r="J106" i="1"/>
  <c r="I106" i="1"/>
  <c r="BJ105" i="1"/>
  <c r="BI105" i="1"/>
  <c r="BH105" i="1"/>
  <c r="AF105" i="1" s="1"/>
  <c r="BF105" i="1"/>
  <c r="BD105" i="1"/>
  <c r="AX105" i="1"/>
  <c r="AW105" i="1"/>
  <c r="BC105" i="1" s="1"/>
  <c r="AP105" i="1"/>
  <c r="AO105" i="1"/>
  <c r="I105" i="1" s="1"/>
  <c r="I102" i="1" s="1"/>
  <c r="AK105" i="1"/>
  <c r="AT102" i="1" s="1"/>
  <c r="AJ105" i="1"/>
  <c r="AH105" i="1"/>
  <c r="AG105" i="1"/>
  <c r="AE105" i="1"/>
  <c r="AD105" i="1"/>
  <c r="AC105" i="1"/>
  <c r="AB105" i="1"/>
  <c r="Z105" i="1"/>
  <c r="K105" i="1"/>
  <c r="AL105" i="1" s="1"/>
  <c r="J105" i="1"/>
  <c r="BJ103" i="1"/>
  <c r="BF103" i="1"/>
  <c r="BD103" i="1"/>
  <c r="AX103" i="1"/>
  <c r="AP103" i="1"/>
  <c r="BI103" i="1" s="1"/>
  <c r="AG103" i="1" s="1"/>
  <c r="AO103" i="1"/>
  <c r="BH103" i="1" s="1"/>
  <c r="AF103" i="1" s="1"/>
  <c r="AL103" i="1"/>
  <c r="AK103" i="1"/>
  <c r="AJ103" i="1"/>
  <c r="AH103" i="1"/>
  <c r="AE103" i="1"/>
  <c r="AD103" i="1"/>
  <c r="AC103" i="1"/>
  <c r="AB103" i="1"/>
  <c r="Z103" i="1"/>
  <c r="K103" i="1"/>
  <c r="K102" i="1" s="1"/>
  <c r="I103" i="1"/>
  <c r="AS102" i="1"/>
  <c r="BJ101" i="1"/>
  <c r="BF101" i="1"/>
  <c r="BD101" i="1"/>
  <c r="AW101" i="1"/>
  <c r="AP101" i="1"/>
  <c r="BI101" i="1" s="1"/>
  <c r="AG101" i="1" s="1"/>
  <c r="AO101" i="1"/>
  <c r="BH101" i="1" s="1"/>
  <c r="AF101" i="1" s="1"/>
  <c r="AK101" i="1"/>
  <c r="AJ101" i="1"/>
  <c r="AH101" i="1"/>
  <c r="AE101" i="1"/>
  <c r="AD101" i="1"/>
  <c r="AC101" i="1"/>
  <c r="AB101" i="1"/>
  <c r="Z101" i="1"/>
  <c r="K101" i="1"/>
  <c r="AL101" i="1" s="1"/>
  <c r="J101" i="1"/>
  <c r="BJ99" i="1"/>
  <c r="BI99" i="1"/>
  <c r="AG99" i="1" s="1"/>
  <c r="BH99" i="1"/>
  <c r="BF99" i="1"/>
  <c r="BD99" i="1"/>
  <c r="AX99" i="1"/>
  <c r="BC99" i="1" s="1"/>
  <c r="AW99" i="1"/>
  <c r="AV99" i="1" s="1"/>
  <c r="AP99" i="1"/>
  <c r="J99" i="1" s="1"/>
  <c r="AO99" i="1"/>
  <c r="I99" i="1" s="1"/>
  <c r="AK99" i="1"/>
  <c r="AJ99" i="1"/>
  <c r="AH99" i="1"/>
  <c r="AF99" i="1"/>
  <c r="AE99" i="1"/>
  <c r="AD99" i="1"/>
  <c r="AC99" i="1"/>
  <c r="AB99" i="1"/>
  <c r="Z99" i="1"/>
  <c r="K99" i="1"/>
  <c r="AL99" i="1" s="1"/>
  <c r="BJ97" i="1"/>
  <c r="BF97" i="1"/>
  <c r="BD97" i="1"/>
  <c r="AP97" i="1"/>
  <c r="BI97" i="1" s="1"/>
  <c r="AG97" i="1" s="1"/>
  <c r="AO97" i="1"/>
  <c r="BH97" i="1" s="1"/>
  <c r="AF97" i="1" s="1"/>
  <c r="AL97" i="1"/>
  <c r="AK97" i="1"/>
  <c r="AJ97" i="1"/>
  <c r="AH97" i="1"/>
  <c r="AE97" i="1"/>
  <c r="AD97" i="1"/>
  <c r="AC97" i="1"/>
  <c r="AB97" i="1"/>
  <c r="Z97" i="1"/>
  <c r="K97" i="1"/>
  <c r="J97" i="1"/>
  <c r="BJ96" i="1"/>
  <c r="BI96" i="1"/>
  <c r="AG96" i="1" s="1"/>
  <c r="BF96" i="1"/>
  <c r="BD96" i="1"/>
  <c r="AW96" i="1"/>
  <c r="AV96" i="1" s="1"/>
  <c r="AP96" i="1"/>
  <c r="AX96" i="1" s="1"/>
  <c r="AO96" i="1"/>
  <c r="I96" i="1" s="1"/>
  <c r="AL96" i="1"/>
  <c r="AK96" i="1"/>
  <c r="AJ96" i="1"/>
  <c r="AH96" i="1"/>
  <c r="AE96" i="1"/>
  <c r="AD96" i="1"/>
  <c r="AC96" i="1"/>
  <c r="AB96" i="1"/>
  <c r="Z96" i="1"/>
  <c r="K96" i="1"/>
  <c r="BJ95" i="1"/>
  <c r="BI95" i="1"/>
  <c r="AG95" i="1" s="1"/>
  <c r="BH95" i="1"/>
  <c r="BF95" i="1"/>
  <c r="BD95" i="1"/>
  <c r="BC95" i="1"/>
  <c r="AX95" i="1"/>
  <c r="AW95" i="1"/>
  <c r="AV95" i="1"/>
  <c r="AP95" i="1"/>
  <c r="AO95" i="1"/>
  <c r="AL95" i="1"/>
  <c r="AK95" i="1"/>
  <c r="AJ95" i="1"/>
  <c r="AH95" i="1"/>
  <c r="AF95" i="1"/>
  <c r="AE95" i="1"/>
  <c r="AD95" i="1"/>
  <c r="AC95" i="1"/>
  <c r="AB95" i="1"/>
  <c r="Z95" i="1"/>
  <c r="K95" i="1"/>
  <c r="J95" i="1"/>
  <c r="I95" i="1"/>
  <c r="BJ94" i="1"/>
  <c r="BH94" i="1"/>
  <c r="AF94" i="1" s="1"/>
  <c r="BF94" i="1"/>
  <c r="BD94" i="1"/>
  <c r="AP94" i="1"/>
  <c r="AX94" i="1" s="1"/>
  <c r="AO94" i="1"/>
  <c r="AW94" i="1" s="1"/>
  <c r="AK94" i="1"/>
  <c r="AJ94" i="1"/>
  <c r="AH94" i="1"/>
  <c r="AE94" i="1"/>
  <c r="AD94" i="1"/>
  <c r="AC94" i="1"/>
  <c r="AB94" i="1"/>
  <c r="Z94" i="1"/>
  <c r="K94" i="1"/>
  <c r="AL94" i="1" s="1"/>
  <c r="J94" i="1"/>
  <c r="BJ92" i="1"/>
  <c r="BF92" i="1"/>
  <c r="BD92" i="1"/>
  <c r="AX92" i="1"/>
  <c r="AP92" i="1"/>
  <c r="BI92" i="1" s="1"/>
  <c r="AG92" i="1" s="1"/>
  <c r="AO92" i="1"/>
  <c r="BH92" i="1" s="1"/>
  <c r="AF92" i="1" s="1"/>
  <c r="AK92" i="1"/>
  <c r="AT91" i="1" s="1"/>
  <c r="AJ92" i="1"/>
  <c r="AS91" i="1" s="1"/>
  <c r="AH92" i="1"/>
  <c r="AE92" i="1"/>
  <c r="AD92" i="1"/>
  <c r="AC92" i="1"/>
  <c r="AB92" i="1"/>
  <c r="Z92" i="1"/>
  <c r="K92" i="1"/>
  <c r="AL92" i="1" s="1"/>
  <c r="I92" i="1"/>
  <c r="BJ90" i="1"/>
  <c r="BI90" i="1"/>
  <c r="BF90" i="1"/>
  <c r="BD90" i="1"/>
  <c r="AX90" i="1"/>
  <c r="AW90" i="1"/>
  <c r="BC90" i="1" s="1"/>
  <c r="AP90" i="1"/>
  <c r="AO90" i="1"/>
  <c r="BH90" i="1" s="1"/>
  <c r="AF90" i="1" s="1"/>
  <c r="AK90" i="1"/>
  <c r="AJ90" i="1"/>
  <c r="AS89" i="1" s="1"/>
  <c r="AH90" i="1"/>
  <c r="AG90" i="1"/>
  <c r="AE90" i="1"/>
  <c r="AD90" i="1"/>
  <c r="AC90" i="1"/>
  <c r="AB90" i="1"/>
  <c r="Z90" i="1"/>
  <c r="K90" i="1"/>
  <c r="K89" i="1" s="1"/>
  <c r="J90" i="1"/>
  <c r="J89" i="1" s="1"/>
  <c r="AT89" i="1"/>
  <c r="BJ88" i="1"/>
  <c r="BI88" i="1"/>
  <c r="AG88" i="1" s="1"/>
  <c r="BH88" i="1"/>
  <c r="BF88" i="1"/>
  <c r="BD88" i="1"/>
  <c r="BC88" i="1"/>
  <c r="AX88" i="1"/>
  <c r="AW88" i="1"/>
  <c r="AV88" i="1"/>
  <c r="AP88" i="1"/>
  <c r="AO88" i="1"/>
  <c r="AL88" i="1"/>
  <c r="AK88" i="1"/>
  <c r="AJ88" i="1"/>
  <c r="AH88" i="1"/>
  <c r="AF88" i="1"/>
  <c r="AE88" i="1"/>
  <c r="AD88" i="1"/>
  <c r="AC88" i="1"/>
  <c r="AB88" i="1"/>
  <c r="Z88" i="1"/>
  <c r="K88" i="1"/>
  <c r="J88" i="1"/>
  <c r="I88" i="1"/>
  <c r="BJ87" i="1"/>
  <c r="BH87" i="1"/>
  <c r="AF87" i="1" s="1"/>
  <c r="BF87" i="1"/>
  <c r="BD87" i="1"/>
  <c r="AP87" i="1"/>
  <c r="AX87" i="1" s="1"/>
  <c r="AO87" i="1"/>
  <c r="AW87" i="1" s="1"/>
  <c r="AK87" i="1"/>
  <c r="AJ87" i="1"/>
  <c r="AH87" i="1"/>
  <c r="AE87" i="1"/>
  <c r="AD87" i="1"/>
  <c r="AC87" i="1"/>
  <c r="AB87" i="1"/>
  <c r="Z87" i="1"/>
  <c r="K87" i="1"/>
  <c r="AL87" i="1" s="1"/>
  <c r="J87" i="1"/>
  <c r="BJ86" i="1"/>
  <c r="BF86" i="1"/>
  <c r="BD86" i="1"/>
  <c r="AX86" i="1"/>
  <c r="AP86" i="1"/>
  <c r="BI86" i="1" s="1"/>
  <c r="AG86" i="1" s="1"/>
  <c r="AO86" i="1"/>
  <c r="BH86" i="1" s="1"/>
  <c r="AF86" i="1" s="1"/>
  <c r="AK86" i="1"/>
  <c r="AT85" i="1" s="1"/>
  <c r="AJ86" i="1"/>
  <c r="AS85" i="1" s="1"/>
  <c r="AH86" i="1"/>
  <c r="AE86" i="1"/>
  <c r="AD86" i="1"/>
  <c r="AC86" i="1"/>
  <c r="AB86" i="1"/>
  <c r="Z86" i="1"/>
  <c r="K86" i="1"/>
  <c r="AL86" i="1" s="1"/>
  <c r="AU85" i="1" s="1"/>
  <c r="BJ84" i="1"/>
  <c r="BI84" i="1"/>
  <c r="BF84" i="1"/>
  <c r="BD84" i="1"/>
  <c r="AX84" i="1"/>
  <c r="AW84" i="1"/>
  <c r="BC84" i="1" s="1"/>
  <c r="AP84" i="1"/>
  <c r="AO84" i="1"/>
  <c r="BH84" i="1" s="1"/>
  <c r="AK84" i="1"/>
  <c r="AJ84" i="1"/>
  <c r="AS83" i="1" s="1"/>
  <c r="AH84" i="1"/>
  <c r="AG84" i="1"/>
  <c r="AF84" i="1"/>
  <c r="AE84" i="1"/>
  <c r="AD84" i="1"/>
  <c r="AC84" i="1"/>
  <c r="AB84" i="1"/>
  <c r="Z84" i="1"/>
  <c r="K84" i="1"/>
  <c r="K83" i="1" s="1"/>
  <c r="J84" i="1"/>
  <c r="J83" i="1" s="1"/>
  <c r="AT83" i="1"/>
  <c r="BJ82" i="1"/>
  <c r="Z82" i="1" s="1"/>
  <c r="BI82" i="1"/>
  <c r="BH82" i="1"/>
  <c r="BF82" i="1"/>
  <c r="BD82" i="1"/>
  <c r="AX82" i="1"/>
  <c r="AP82" i="1"/>
  <c r="AO82" i="1"/>
  <c r="AW82" i="1" s="1"/>
  <c r="AL82" i="1"/>
  <c r="AU81" i="1" s="1"/>
  <c r="AK82" i="1"/>
  <c r="AJ82" i="1"/>
  <c r="AH82" i="1"/>
  <c r="AG82" i="1"/>
  <c r="AF82" i="1"/>
  <c r="AE82" i="1"/>
  <c r="AD82" i="1"/>
  <c r="AC82" i="1"/>
  <c r="AB82" i="1"/>
  <c r="K82" i="1"/>
  <c r="K81" i="1" s="1"/>
  <c r="J82" i="1"/>
  <c r="J81" i="1" s="1"/>
  <c r="I82" i="1"/>
  <c r="I81" i="1" s="1"/>
  <c r="AT81" i="1"/>
  <c r="AS81" i="1"/>
  <c r="BJ80" i="1"/>
  <c r="BH80" i="1"/>
  <c r="BF80" i="1"/>
  <c r="BD80" i="1"/>
  <c r="AW80" i="1"/>
  <c r="AP80" i="1"/>
  <c r="BI80" i="1" s="1"/>
  <c r="AC80" i="1" s="1"/>
  <c r="AO80" i="1"/>
  <c r="AK80" i="1"/>
  <c r="AT79" i="1" s="1"/>
  <c r="AJ80" i="1"/>
  <c r="AH80" i="1"/>
  <c r="AG80" i="1"/>
  <c r="AF80" i="1"/>
  <c r="AE80" i="1"/>
  <c r="AD80" i="1"/>
  <c r="AB80" i="1"/>
  <c r="Z80" i="1"/>
  <c r="K80" i="1"/>
  <c r="AL80" i="1" s="1"/>
  <c r="AU79" i="1" s="1"/>
  <c r="I80" i="1"/>
  <c r="I79" i="1" s="1"/>
  <c r="AS79" i="1"/>
  <c r="K79" i="1"/>
  <c r="BJ78" i="1"/>
  <c r="BF78" i="1"/>
  <c r="BD78" i="1"/>
  <c r="AP78" i="1"/>
  <c r="BI78" i="1" s="1"/>
  <c r="AC78" i="1" s="1"/>
  <c r="AO78" i="1"/>
  <c r="AW78" i="1" s="1"/>
  <c r="AK78" i="1"/>
  <c r="AJ78" i="1"/>
  <c r="AH78" i="1"/>
  <c r="AG78" i="1"/>
  <c r="AF78" i="1"/>
  <c r="AE78" i="1"/>
  <c r="AD78" i="1"/>
  <c r="Z78" i="1"/>
  <c r="K78" i="1"/>
  <c r="AL78" i="1" s="1"/>
  <c r="J78" i="1"/>
  <c r="BJ76" i="1"/>
  <c r="BI76" i="1"/>
  <c r="AC76" i="1" s="1"/>
  <c r="BF76" i="1"/>
  <c r="BD76" i="1"/>
  <c r="AW76" i="1"/>
  <c r="AV76" i="1" s="1"/>
  <c r="AP76" i="1"/>
  <c r="AX76" i="1" s="1"/>
  <c r="AO76" i="1"/>
  <c r="I76" i="1" s="1"/>
  <c r="AL76" i="1"/>
  <c r="AK76" i="1"/>
  <c r="AT69" i="1" s="1"/>
  <c r="AJ76" i="1"/>
  <c r="AH76" i="1"/>
  <c r="AG76" i="1"/>
  <c r="AF76" i="1"/>
  <c r="AE76" i="1"/>
  <c r="AD76" i="1"/>
  <c r="Z76" i="1"/>
  <c r="K76" i="1"/>
  <c r="BJ75" i="1"/>
  <c r="BI75" i="1"/>
  <c r="BH75" i="1"/>
  <c r="AB75" i="1" s="1"/>
  <c r="BF75" i="1"/>
  <c r="BD75" i="1"/>
  <c r="AX75" i="1"/>
  <c r="AP75" i="1"/>
  <c r="AO75" i="1"/>
  <c r="AW75" i="1" s="1"/>
  <c r="AL75" i="1"/>
  <c r="AK75" i="1"/>
  <c r="AJ75" i="1"/>
  <c r="AH75" i="1"/>
  <c r="AG75" i="1"/>
  <c r="AF75" i="1"/>
  <c r="AE75" i="1"/>
  <c r="AD75" i="1"/>
  <c r="AC75" i="1"/>
  <c r="Z75" i="1"/>
  <c r="K75" i="1"/>
  <c r="J75" i="1"/>
  <c r="I75" i="1"/>
  <c r="BJ74" i="1"/>
  <c r="BH74" i="1"/>
  <c r="AB74" i="1" s="1"/>
  <c r="BF74" i="1"/>
  <c r="BD74" i="1"/>
  <c r="AP74" i="1"/>
  <c r="AX74" i="1" s="1"/>
  <c r="AO74" i="1"/>
  <c r="AW74" i="1" s="1"/>
  <c r="AK74" i="1"/>
  <c r="AJ74" i="1"/>
  <c r="AH74" i="1"/>
  <c r="AG74" i="1"/>
  <c r="AF74" i="1"/>
  <c r="AE74" i="1"/>
  <c r="AD74" i="1"/>
  <c r="Z74" i="1"/>
  <c r="K74" i="1"/>
  <c r="AL74" i="1" s="1"/>
  <c r="J74" i="1"/>
  <c r="BJ72" i="1"/>
  <c r="BF72" i="1"/>
  <c r="BD72" i="1"/>
  <c r="AX72" i="1"/>
  <c r="AP72" i="1"/>
  <c r="BI72" i="1" s="1"/>
  <c r="AC72" i="1" s="1"/>
  <c r="AO72" i="1"/>
  <c r="BH72" i="1" s="1"/>
  <c r="AB72" i="1" s="1"/>
  <c r="AK72" i="1"/>
  <c r="AJ72" i="1"/>
  <c r="AH72" i="1"/>
  <c r="AG72" i="1"/>
  <c r="AF72" i="1"/>
  <c r="AE72" i="1"/>
  <c r="AD72" i="1"/>
  <c r="Z72" i="1"/>
  <c r="K72" i="1"/>
  <c r="AL72" i="1" s="1"/>
  <c r="I72" i="1"/>
  <c r="BJ70" i="1"/>
  <c r="BI70" i="1"/>
  <c r="BF70" i="1"/>
  <c r="BD70" i="1"/>
  <c r="AX70" i="1"/>
  <c r="AP70" i="1"/>
  <c r="AO70" i="1"/>
  <c r="BH70" i="1" s="1"/>
  <c r="AB70" i="1" s="1"/>
  <c r="AL70" i="1"/>
  <c r="AU69" i="1" s="1"/>
  <c r="AK70" i="1"/>
  <c r="AJ70" i="1"/>
  <c r="AS69" i="1" s="1"/>
  <c r="AH70" i="1"/>
  <c r="AG70" i="1"/>
  <c r="AF70" i="1"/>
  <c r="AE70" i="1"/>
  <c r="AD70" i="1"/>
  <c r="AC70" i="1"/>
  <c r="Z70" i="1"/>
  <c r="K70" i="1"/>
  <c r="K69" i="1" s="1"/>
  <c r="J70" i="1"/>
  <c r="I70" i="1"/>
  <c r="BJ68" i="1"/>
  <c r="BI68" i="1"/>
  <c r="AC68" i="1" s="1"/>
  <c r="BH68" i="1"/>
  <c r="BF68" i="1"/>
  <c r="BD68" i="1"/>
  <c r="AW68" i="1"/>
  <c r="AP68" i="1"/>
  <c r="J68" i="1" s="1"/>
  <c r="AO68" i="1"/>
  <c r="AK68" i="1"/>
  <c r="AJ68" i="1"/>
  <c r="AH68" i="1"/>
  <c r="AG68" i="1"/>
  <c r="AF68" i="1"/>
  <c r="AE68" i="1"/>
  <c r="AD68" i="1"/>
  <c r="AB68" i="1"/>
  <c r="Z68" i="1"/>
  <c r="K68" i="1"/>
  <c r="AL68" i="1" s="1"/>
  <c r="I68" i="1"/>
  <c r="BJ67" i="1"/>
  <c r="BH67" i="1"/>
  <c r="AB67" i="1" s="1"/>
  <c r="BF67" i="1"/>
  <c r="BD67" i="1"/>
  <c r="AW67" i="1"/>
  <c r="AP67" i="1"/>
  <c r="BI67" i="1" s="1"/>
  <c r="AC67" i="1" s="1"/>
  <c r="AO67" i="1"/>
  <c r="AL67" i="1"/>
  <c r="AK67" i="1"/>
  <c r="AJ67" i="1"/>
  <c r="AH67" i="1"/>
  <c r="AG67" i="1"/>
  <c r="AF67" i="1"/>
  <c r="AE67" i="1"/>
  <c r="AD67" i="1"/>
  <c r="Z67" i="1"/>
  <c r="K67" i="1"/>
  <c r="J67" i="1"/>
  <c r="I67" i="1"/>
  <c r="BJ66" i="1"/>
  <c r="BF66" i="1"/>
  <c r="BD66" i="1"/>
  <c r="AW66" i="1"/>
  <c r="AP66" i="1"/>
  <c r="BI66" i="1" s="1"/>
  <c r="AC66" i="1" s="1"/>
  <c r="AO66" i="1"/>
  <c r="BH66" i="1" s="1"/>
  <c r="AB66" i="1" s="1"/>
  <c r="AK66" i="1"/>
  <c r="AJ66" i="1"/>
  <c r="AH66" i="1"/>
  <c r="AG66" i="1"/>
  <c r="AF66" i="1"/>
  <c r="AE66" i="1"/>
  <c r="AD66" i="1"/>
  <c r="Z66" i="1"/>
  <c r="K66" i="1"/>
  <c r="AL66" i="1" s="1"/>
  <c r="J66" i="1"/>
  <c r="BJ64" i="1"/>
  <c r="BI64" i="1"/>
  <c r="BH64" i="1"/>
  <c r="AB64" i="1" s="1"/>
  <c r="BF64" i="1"/>
  <c r="BD64" i="1"/>
  <c r="AX64" i="1"/>
  <c r="BC64" i="1" s="1"/>
  <c r="AW64" i="1"/>
  <c r="AV64" i="1" s="1"/>
  <c r="AP64" i="1"/>
  <c r="J64" i="1" s="1"/>
  <c r="J63" i="1" s="1"/>
  <c r="AO64" i="1"/>
  <c r="I64" i="1" s="1"/>
  <c r="AK64" i="1"/>
  <c r="AT63" i="1" s="1"/>
  <c r="AJ64" i="1"/>
  <c r="AH64" i="1"/>
  <c r="AG64" i="1"/>
  <c r="AF64" i="1"/>
  <c r="AE64" i="1"/>
  <c r="AD64" i="1"/>
  <c r="AC64" i="1"/>
  <c r="Z64" i="1"/>
  <c r="K64" i="1"/>
  <c r="AL64" i="1" s="1"/>
  <c r="AS63" i="1"/>
  <c r="BJ62" i="1"/>
  <c r="BI62" i="1"/>
  <c r="BH62" i="1"/>
  <c r="BF62" i="1"/>
  <c r="BD62" i="1"/>
  <c r="AX62" i="1"/>
  <c r="AW62" i="1"/>
  <c r="BC62" i="1" s="1"/>
  <c r="AP62" i="1"/>
  <c r="AO62" i="1"/>
  <c r="I62" i="1" s="1"/>
  <c r="I61" i="1" s="1"/>
  <c r="AK62" i="1"/>
  <c r="AT61" i="1" s="1"/>
  <c r="AJ62" i="1"/>
  <c r="AS61" i="1" s="1"/>
  <c r="AH62" i="1"/>
  <c r="AG62" i="1"/>
  <c r="AF62" i="1"/>
  <c r="AE62" i="1"/>
  <c r="AD62" i="1"/>
  <c r="AC62" i="1"/>
  <c r="AB62" i="1"/>
  <c r="Z62" i="1"/>
  <c r="K62" i="1"/>
  <c r="AL62" i="1" s="1"/>
  <c r="AU61" i="1" s="1"/>
  <c r="J62" i="1"/>
  <c r="J61" i="1" s="1"/>
  <c r="K61" i="1"/>
  <c r="BJ59" i="1"/>
  <c r="BH59" i="1"/>
  <c r="AB59" i="1" s="1"/>
  <c r="BF59" i="1"/>
  <c r="BD59" i="1"/>
  <c r="BC59" i="1"/>
  <c r="AX59" i="1"/>
  <c r="AW59" i="1"/>
  <c r="AV59" i="1"/>
  <c r="AP59" i="1"/>
  <c r="BI59" i="1" s="1"/>
  <c r="AC59" i="1" s="1"/>
  <c r="AO59" i="1"/>
  <c r="AL59" i="1"/>
  <c r="AK59" i="1"/>
  <c r="AJ59" i="1"/>
  <c r="AS56" i="1" s="1"/>
  <c r="AH59" i="1"/>
  <c r="AG59" i="1"/>
  <c r="AF59" i="1"/>
  <c r="AE59" i="1"/>
  <c r="AD59" i="1"/>
  <c r="Z59" i="1"/>
  <c r="K59" i="1"/>
  <c r="J59" i="1"/>
  <c r="I59" i="1"/>
  <c r="BJ57" i="1"/>
  <c r="BF57" i="1"/>
  <c r="BD57" i="1"/>
  <c r="AW57" i="1"/>
  <c r="AP57" i="1"/>
  <c r="BI57" i="1" s="1"/>
  <c r="AC57" i="1" s="1"/>
  <c r="AO57" i="1"/>
  <c r="BH57" i="1" s="1"/>
  <c r="AB57" i="1" s="1"/>
  <c r="AK57" i="1"/>
  <c r="AT56" i="1" s="1"/>
  <c r="AJ57" i="1"/>
  <c r="AH57" i="1"/>
  <c r="AG57" i="1"/>
  <c r="AF57" i="1"/>
  <c r="AE57" i="1"/>
  <c r="AD57" i="1"/>
  <c r="Z57" i="1"/>
  <c r="K57" i="1"/>
  <c r="AL57" i="1" s="1"/>
  <c r="AU56" i="1" s="1"/>
  <c r="J57" i="1"/>
  <c r="J56" i="1" s="1"/>
  <c r="K56" i="1"/>
  <c r="BJ55" i="1"/>
  <c r="BI55" i="1"/>
  <c r="BF55" i="1"/>
  <c r="BD55" i="1"/>
  <c r="AX55" i="1"/>
  <c r="AP55" i="1"/>
  <c r="AO55" i="1"/>
  <c r="BH55" i="1" s="1"/>
  <c r="AB55" i="1" s="1"/>
  <c r="AL55" i="1"/>
  <c r="AK55" i="1"/>
  <c r="AJ55" i="1"/>
  <c r="AH55" i="1"/>
  <c r="AG55" i="1"/>
  <c r="AF55" i="1"/>
  <c r="AE55" i="1"/>
  <c r="AD55" i="1"/>
  <c r="AC55" i="1"/>
  <c r="Z55" i="1"/>
  <c r="K55" i="1"/>
  <c r="J55" i="1"/>
  <c r="I55" i="1"/>
  <c r="BJ54" i="1"/>
  <c r="BI54" i="1"/>
  <c r="AC54" i="1" s="1"/>
  <c r="BH54" i="1"/>
  <c r="BF54" i="1"/>
  <c r="BD54" i="1"/>
  <c r="AX54" i="1"/>
  <c r="AW54" i="1"/>
  <c r="BC54" i="1" s="1"/>
  <c r="AP54" i="1"/>
  <c r="AO54" i="1"/>
  <c r="I54" i="1" s="1"/>
  <c r="AK54" i="1"/>
  <c r="AJ54" i="1"/>
  <c r="AH54" i="1"/>
  <c r="AG54" i="1"/>
  <c r="AF54" i="1"/>
  <c r="AE54" i="1"/>
  <c r="AD54" i="1"/>
  <c r="AB54" i="1"/>
  <c r="Z54" i="1"/>
  <c r="K54" i="1"/>
  <c r="AL54" i="1" s="1"/>
  <c r="J54" i="1"/>
  <c r="BJ52" i="1"/>
  <c r="BF52" i="1"/>
  <c r="BD52" i="1"/>
  <c r="AX52" i="1"/>
  <c r="AP52" i="1"/>
  <c r="BI52" i="1" s="1"/>
  <c r="AC52" i="1" s="1"/>
  <c r="AO52" i="1"/>
  <c r="BH52" i="1" s="1"/>
  <c r="AB52" i="1" s="1"/>
  <c r="AL52" i="1"/>
  <c r="AK52" i="1"/>
  <c r="AJ52" i="1"/>
  <c r="AH52" i="1"/>
  <c r="AG52" i="1"/>
  <c r="AF52" i="1"/>
  <c r="AE52" i="1"/>
  <c r="AD52" i="1"/>
  <c r="Z52" i="1"/>
  <c r="K52" i="1"/>
  <c r="K49" i="1" s="1"/>
  <c r="I52" i="1"/>
  <c r="BJ50" i="1"/>
  <c r="BI50" i="1"/>
  <c r="BH50" i="1"/>
  <c r="AB50" i="1" s="1"/>
  <c r="BF50" i="1"/>
  <c r="BD50" i="1"/>
  <c r="AP50" i="1"/>
  <c r="J50" i="1" s="1"/>
  <c r="AO50" i="1"/>
  <c r="AW50" i="1" s="1"/>
  <c r="AL50" i="1"/>
  <c r="AK50" i="1"/>
  <c r="AJ50" i="1"/>
  <c r="AS49" i="1" s="1"/>
  <c r="AH50" i="1"/>
  <c r="AG50" i="1"/>
  <c r="AF50" i="1"/>
  <c r="AE50" i="1"/>
  <c r="AD50" i="1"/>
  <c r="AC50" i="1"/>
  <c r="Z50" i="1"/>
  <c r="K50" i="1"/>
  <c r="AT49" i="1"/>
  <c r="BJ47" i="1"/>
  <c r="BI47" i="1"/>
  <c r="BH47" i="1"/>
  <c r="BF47" i="1"/>
  <c r="BD47" i="1"/>
  <c r="AX47" i="1"/>
  <c r="AP47" i="1"/>
  <c r="J47" i="1" s="1"/>
  <c r="AO47" i="1"/>
  <c r="I47" i="1" s="1"/>
  <c r="AK47" i="1"/>
  <c r="AJ47" i="1"/>
  <c r="AH47" i="1"/>
  <c r="AG47" i="1"/>
  <c r="AF47" i="1"/>
  <c r="AE47" i="1"/>
  <c r="AD47" i="1"/>
  <c r="AC47" i="1"/>
  <c r="AB47" i="1"/>
  <c r="Z47" i="1"/>
  <c r="K47" i="1"/>
  <c r="AL47" i="1" s="1"/>
  <c r="AU42" i="1" s="1"/>
  <c r="BJ45" i="1"/>
  <c r="BF45" i="1"/>
  <c r="BD45" i="1"/>
  <c r="AP45" i="1"/>
  <c r="BI45" i="1" s="1"/>
  <c r="AC45" i="1" s="1"/>
  <c r="AO45" i="1"/>
  <c r="AW45" i="1" s="1"/>
  <c r="AL45" i="1"/>
  <c r="AK45" i="1"/>
  <c r="AJ45" i="1"/>
  <c r="AS42" i="1" s="1"/>
  <c r="AH45" i="1"/>
  <c r="AG45" i="1"/>
  <c r="AF45" i="1"/>
  <c r="AE45" i="1"/>
  <c r="AD45" i="1"/>
  <c r="Z45" i="1"/>
  <c r="K45" i="1"/>
  <c r="J45" i="1"/>
  <c r="BJ43" i="1"/>
  <c r="BI43" i="1"/>
  <c r="AC43" i="1" s="1"/>
  <c r="BF43" i="1"/>
  <c r="BD43" i="1"/>
  <c r="AW43" i="1"/>
  <c r="AV43" i="1" s="1"/>
  <c r="AP43" i="1"/>
  <c r="AX43" i="1" s="1"/>
  <c r="AO43" i="1"/>
  <c r="I43" i="1" s="1"/>
  <c r="AL43" i="1"/>
  <c r="AK43" i="1"/>
  <c r="AT42" i="1" s="1"/>
  <c r="AJ43" i="1"/>
  <c r="AH43" i="1"/>
  <c r="AG43" i="1"/>
  <c r="AF43" i="1"/>
  <c r="AE43" i="1"/>
  <c r="AD43" i="1"/>
  <c r="Z43" i="1"/>
  <c r="K43" i="1"/>
  <c r="BJ41" i="1"/>
  <c r="BI41" i="1"/>
  <c r="AC41" i="1" s="1"/>
  <c r="BH41" i="1"/>
  <c r="AB41" i="1" s="1"/>
  <c r="BF41" i="1"/>
  <c r="BD41" i="1"/>
  <c r="AP41" i="1"/>
  <c r="J41" i="1" s="1"/>
  <c r="J40" i="1" s="1"/>
  <c r="AO41" i="1"/>
  <c r="AW41" i="1" s="1"/>
  <c r="AL41" i="1"/>
  <c r="AU40" i="1" s="1"/>
  <c r="AK41" i="1"/>
  <c r="AJ41" i="1"/>
  <c r="AS40" i="1" s="1"/>
  <c r="AH41" i="1"/>
  <c r="AG41" i="1"/>
  <c r="AF41" i="1"/>
  <c r="AE41" i="1"/>
  <c r="AD41" i="1"/>
  <c r="Z41" i="1"/>
  <c r="K41" i="1"/>
  <c r="AT40" i="1"/>
  <c r="K40" i="1"/>
  <c r="BJ39" i="1"/>
  <c r="BI39" i="1"/>
  <c r="BH39" i="1"/>
  <c r="BF39" i="1"/>
  <c r="BD39" i="1"/>
  <c r="AX39" i="1"/>
  <c r="AP39" i="1"/>
  <c r="J39" i="1" s="1"/>
  <c r="J37" i="1" s="1"/>
  <c r="AO39" i="1"/>
  <c r="I39" i="1" s="1"/>
  <c r="AK39" i="1"/>
  <c r="AJ39" i="1"/>
  <c r="AH39" i="1"/>
  <c r="AG39" i="1"/>
  <c r="AF39" i="1"/>
  <c r="AE39" i="1"/>
  <c r="AD39" i="1"/>
  <c r="AC39" i="1"/>
  <c r="AB39" i="1"/>
  <c r="Z39" i="1"/>
  <c r="K39" i="1"/>
  <c r="AL39" i="1" s="1"/>
  <c r="AU37" i="1" s="1"/>
  <c r="BJ38" i="1"/>
  <c r="BF38" i="1"/>
  <c r="BD38" i="1"/>
  <c r="AP38" i="1"/>
  <c r="BI38" i="1" s="1"/>
  <c r="AC38" i="1" s="1"/>
  <c r="AO38" i="1"/>
  <c r="BH38" i="1" s="1"/>
  <c r="AB38" i="1" s="1"/>
  <c r="AL38" i="1"/>
  <c r="AK38" i="1"/>
  <c r="AJ38" i="1"/>
  <c r="AS37" i="1" s="1"/>
  <c r="AH38" i="1"/>
  <c r="AG38" i="1"/>
  <c r="AF38" i="1"/>
  <c r="AE38" i="1"/>
  <c r="AD38" i="1"/>
  <c r="Z38" i="1"/>
  <c r="K38" i="1"/>
  <c r="J38" i="1"/>
  <c r="AT37" i="1"/>
  <c r="BJ36" i="1"/>
  <c r="BF36" i="1"/>
  <c r="BD36" i="1"/>
  <c r="AX36" i="1"/>
  <c r="AP36" i="1"/>
  <c r="BI36" i="1" s="1"/>
  <c r="AC36" i="1" s="1"/>
  <c r="AO36" i="1"/>
  <c r="BH36" i="1" s="1"/>
  <c r="AB36" i="1" s="1"/>
  <c r="AL36" i="1"/>
  <c r="AU35" i="1" s="1"/>
  <c r="AK36" i="1"/>
  <c r="AJ36" i="1"/>
  <c r="AH36" i="1"/>
  <c r="AG36" i="1"/>
  <c r="AF36" i="1"/>
  <c r="AE36" i="1"/>
  <c r="AD36" i="1"/>
  <c r="Z36" i="1"/>
  <c r="K36" i="1"/>
  <c r="K35" i="1" s="1"/>
  <c r="I36" i="1"/>
  <c r="AT35" i="1"/>
  <c r="AS35" i="1"/>
  <c r="I35" i="1"/>
  <c r="BJ34" i="1"/>
  <c r="BF34" i="1"/>
  <c r="BD34" i="1"/>
  <c r="AW34" i="1"/>
  <c r="AP34" i="1"/>
  <c r="BI34" i="1" s="1"/>
  <c r="AC34" i="1" s="1"/>
  <c r="AO34" i="1"/>
  <c r="BH34" i="1" s="1"/>
  <c r="AB34" i="1" s="1"/>
  <c r="AK34" i="1"/>
  <c r="AT33" i="1" s="1"/>
  <c r="AJ34" i="1"/>
  <c r="AH34" i="1"/>
  <c r="AG34" i="1"/>
  <c r="AF34" i="1"/>
  <c r="AE34" i="1"/>
  <c r="AD34" i="1"/>
  <c r="Z34" i="1"/>
  <c r="K34" i="1"/>
  <c r="AL34" i="1" s="1"/>
  <c r="AU33" i="1" s="1"/>
  <c r="J34" i="1"/>
  <c r="J33" i="1" s="1"/>
  <c r="AS33" i="1"/>
  <c r="K33" i="1"/>
  <c r="BJ31" i="1"/>
  <c r="BI31" i="1"/>
  <c r="BF31" i="1"/>
  <c r="BD31" i="1"/>
  <c r="AX31" i="1"/>
  <c r="AP31" i="1"/>
  <c r="AO31" i="1"/>
  <c r="BH31" i="1" s="1"/>
  <c r="AB31" i="1" s="1"/>
  <c r="AL31" i="1"/>
  <c r="AK31" i="1"/>
  <c r="AJ31" i="1"/>
  <c r="AH31" i="1"/>
  <c r="AG31" i="1"/>
  <c r="AF31" i="1"/>
  <c r="AE31" i="1"/>
  <c r="AD31" i="1"/>
  <c r="AC31" i="1"/>
  <c r="Z31" i="1"/>
  <c r="K31" i="1"/>
  <c r="J31" i="1"/>
  <c r="I31" i="1"/>
  <c r="BJ29" i="1"/>
  <c r="BI29" i="1"/>
  <c r="AC29" i="1" s="1"/>
  <c r="BH29" i="1"/>
  <c r="BF29" i="1"/>
  <c r="BD29" i="1"/>
  <c r="AX29" i="1"/>
  <c r="AW29" i="1"/>
  <c r="BC29" i="1" s="1"/>
  <c r="AP29" i="1"/>
  <c r="AO29" i="1"/>
  <c r="I29" i="1" s="1"/>
  <c r="I28" i="1" s="1"/>
  <c r="AK29" i="1"/>
  <c r="AT28" i="1" s="1"/>
  <c r="AJ29" i="1"/>
  <c r="AS28" i="1" s="1"/>
  <c r="AH29" i="1"/>
  <c r="AG29" i="1"/>
  <c r="AF29" i="1"/>
  <c r="AE29" i="1"/>
  <c r="AD29" i="1"/>
  <c r="AB29" i="1"/>
  <c r="Z29" i="1"/>
  <c r="K29" i="1"/>
  <c r="AL29" i="1" s="1"/>
  <c r="AU28" i="1" s="1"/>
  <c r="J29" i="1"/>
  <c r="J28" i="1" s="1"/>
  <c r="K28" i="1"/>
  <c r="BJ26" i="1"/>
  <c r="BH26" i="1"/>
  <c r="AB26" i="1" s="1"/>
  <c r="BF26" i="1"/>
  <c r="BD26" i="1"/>
  <c r="BC26" i="1"/>
  <c r="AX26" i="1"/>
  <c r="AW26" i="1"/>
  <c r="AV26" i="1"/>
  <c r="AP26" i="1"/>
  <c r="BI26" i="1" s="1"/>
  <c r="AC26" i="1" s="1"/>
  <c r="AO26" i="1"/>
  <c r="AL26" i="1"/>
  <c r="AK26" i="1"/>
  <c r="AJ26" i="1"/>
  <c r="AS23" i="1" s="1"/>
  <c r="AH26" i="1"/>
  <c r="AG26" i="1"/>
  <c r="AF26" i="1"/>
  <c r="AE26" i="1"/>
  <c r="AD26" i="1"/>
  <c r="Z26" i="1"/>
  <c r="K26" i="1"/>
  <c r="J26" i="1"/>
  <c r="I26" i="1"/>
  <c r="BJ24" i="1"/>
  <c r="BF24" i="1"/>
  <c r="BD24" i="1"/>
  <c r="AW24" i="1"/>
  <c r="AP24" i="1"/>
  <c r="BI24" i="1" s="1"/>
  <c r="AC24" i="1" s="1"/>
  <c r="AO24" i="1"/>
  <c r="BH24" i="1" s="1"/>
  <c r="AB24" i="1" s="1"/>
  <c r="AK24" i="1"/>
  <c r="AT23" i="1" s="1"/>
  <c r="AJ24" i="1"/>
  <c r="AH24" i="1"/>
  <c r="AG24" i="1"/>
  <c r="AF24" i="1"/>
  <c r="AE24" i="1"/>
  <c r="AD24" i="1"/>
  <c r="Z24" i="1"/>
  <c r="K24" i="1"/>
  <c r="AL24" i="1" s="1"/>
  <c r="AU23" i="1" s="1"/>
  <c r="J24" i="1"/>
  <c r="J23" i="1" s="1"/>
  <c r="K23" i="1"/>
  <c r="BJ22" i="1"/>
  <c r="BI22" i="1"/>
  <c r="BF22" i="1"/>
  <c r="BD22" i="1"/>
  <c r="AX22" i="1"/>
  <c r="AP22" i="1"/>
  <c r="AO22" i="1"/>
  <c r="BH22" i="1" s="1"/>
  <c r="AB22" i="1" s="1"/>
  <c r="AL22" i="1"/>
  <c r="AK22" i="1"/>
  <c r="AJ22" i="1"/>
  <c r="AH22" i="1"/>
  <c r="AG22" i="1"/>
  <c r="AF22" i="1"/>
  <c r="AE22" i="1"/>
  <c r="AD22" i="1"/>
  <c r="AC22" i="1"/>
  <c r="Z22" i="1"/>
  <c r="K22" i="1"/>
  <c r="J22" i="1"/>
  <c r="I22" i="1"/>
  <c r="BJ21" i="1"/>
  <c r="BI21" i="1"/>
  <c r="AC21" i="1" s="1"/>
  <c r="BH21" i="1"/>
  <c r="BF21" i="1"/>
  <c r="BD21" i="1"/>
  <c r="AX21" i="1"/>
  <c r="AW21" i="1"/>
  <c r="BC21" i="1" s="1"/>
  <c r="AP21" i="1"/>
  <c r="AO21" i="1"/>
  <c r="I21" i="1" s="1"/>
  <c r="AK21" i="1"/>
  <c r="AJ21" i="1"/>
  <c r="AH21" i="1"/>
  <c r="AG21" i="1"/>
  <c r="AF21" i="1"/>
  <c r="AE21" i="1"/>
  <c r="AD21" i="1"/>
  <c r="AB21" i="1"/>
  <c r="Z21" i="1"/>
  <c r="K21" i="1"/>
  <c r="AL21" i="1" s="1"/>
  <c r="J21" i="1"/>
  <c r="BJ20" i="1"/>
  <c r="BF20" i="1"/>
  <c r="BD20" i="1"/>
  <c r="AX20" i="1"/>
  <c r="AP20" i="1"/>
  <c r="BI20" i="1" s="1"/>
  <c r="AC20" i="1" s="1"/>
  <c r="AO20" i="1"/>
  <c r="BH20" i="1" s="1"/>
  <c r="AB20" i="1" s="1"/>
  <c r="AL20" i="1"/>
  <c r="AK20" i="1"/>
  <c r="AJ20" i="1"/>
  <c r="AH20" i="1"/>
  <c r="AG20" i="1"/>
  <c r="AF20" i="1"/>
  <c r="AE20" i="1"/>
  <c r="AD20" i="1"/>
  <c r="Z20" i="1"/>
  <c r="K20" i="1"/>
  <c r="I20" i="1"/>
  <c r="BJ18" i="1"/>
  <c r="BH18" i="1"/>
  <c r="AB18" i="1" s="1"/>
  <c r="BF18" i="1"/>
  <c r="BD18" i="1"/>
  <c r="AP18" i="1"/>
  <c r="J18" i="1" s="1"/>
  <c r="AO18" i="1"/>
  <c r="AW18" i="1" s="1"/>
  <c r="AL18" i="1"/>
  <c r="AK18" i="1"/>
  <c r="AJ18" i="1"/>
  <c r="AH18" i="1"/>
  <c r="AG18" i="1"/>
  <c r="AF18" i="1"/>
  <c r="AE18" i="1"/>
  <c r="AD18" i="1"/>
  <c r="Z18" i="1"/>
  <c r="K18" i="1"/>
  <c r="BJ16" i="1"/>
  <c r="BF16" i="1"/>
  <c r="BD16" i="1"/>
  <c r="AW16" i="1"/>
  <c r="AP16" i="1"/>
  <c r="AX16" i="1" s="1"/>
  <c r="AO16" i="1"/>
  <c r="BH16" i="1" s="1"/>
  <c r="AB16" i="1" s="1"/>
  <c r="AK16" i="1"/>
  <c r="AJ16" i="1"/>
  <c r="AH16" i="1"/>
  <c r="AG16" i="1"/>
  <c r="AF16" i="1"/>
  <c r="AE16" i="1"/>
  <c r="AD16" i="1"/>
  <c r="Z16" i="1"/>
  <c r="K16" i="1"/>
  <c r="AL16" i="1" s="1"/>
  <c r="I16" i="1"/>
  <c r="BJ14" i="1"/>
  <c r="BF14" i="1"/>
  <c r="BD14" i="1"/>
  <c r="AP14" i="1"/>
  <c r="BI14" i="1" s="1"/>
  <c r="AC14" i="1" s="1"/>
  <c r="AO14" i="1"/>
  <c r="AW14" i="1" s="1"/>
  <c r="AL14" i="1"/>
  <c r="AU13" i="1" s="1"/>
  <c r="AK14" i="1"/>
  <c r="C28" i="2" s="1"/>
  <c r="F28" i="2" s="1"/>
  <c r="AJ14" i="1"/>
  <c r="C27" i="2" s="1"/>
  <c r="AH14" i="1"/>
  <c r="AG14" i="1"/>
  <c r="AF14" i="1"/>
  <c r="AE14" i="1"/>
  <c r="AD14" i="1"/>
  <c r="C16" i="2" s="1"/>
  <c r="Z14" i="1"/>
  <c r="K14" i="1"/>
  <c r="K13" i="1" s="1"/>
  <c r="AU1" i="1"/>
  <c r="AT1" i="1"/>
  <c r="AS1" i="1"/>
  <c r="AT13" i="1" l="1"/>
  <c r="C17" i="2"/>
  <c r="AS13" i="1"/>
  <c r="I14" i="1"/>
  <c r="I13" i="1" s="1"/>
  <c r="J14" i="1"/>
  <c r="AX14" i="1"/>
  <c r="BC94" i="1"/>
  <c r="AV94" i="1"/>
  <c r="BC16" i="1"/>
  <c r="BC112" i="1"/>
  <c r="AV112" i="1"/>
  <c r="BC111" i="1"/>
  <c r="BC123" i="1"/>
  <c r="AV123" i="1"/>
  <c r="AV133" i="1"/>
  <c r="BC133" i="1"/>
  <c r="BC138" i="1"/>
  <c r="BC75" i="1"/>
  <c r="AV75" i="1"/>
  <c r="BC74" i="1"/>
  <c r="AV74" i="1"/>
  <c r="BC87" i="1"/>
  <c r="AV87" i="1"/>
  <c r="AU116" i="1"/>
  <c r="AV18" i="1"/>
  <c r="BC18" i="1"/>
  <c r="C21" i="2"/>
  <c r="AV78" i="1"/>
  <c r="AU91" i="1"/>
  <c r="AV114" i="1"/>
  <c r="BC114" i="1"/>
  <c r="AV125" i="1"/>
  <c r="BC125" i="1"/>
  <c r="BC57" i="1"/>
  <c r="BC66" i="1"/>
  <c r="BC82" i="1"/>
  <c r="AV82" i="1"/>
  <c r="BC101" i="1"/>
  <c r="AU63" i="1"/>
  <c r="BC109" i="1"/>
  <c r="AV109" i="1"/>
  <c r="AU49" i="1"/>
  <c r="I45" i="3"/>
  <c r="I24" i="2" s="1"/>
  <c r="BC14" i="1"/>
  <c r="AV14" i="1"/>
  <c r="C18" i="2"/>
  <c r="C20" i="2"/>
  <c r="BC24" i="1"/>
  <c r="AV50" i="1"/>
  <c r="BC132" i="1"/>
  <c r="AV132" i="1"/>
  <c r="AU102" i="1"/>
  <c r="F22" i="2"/>
  <c r="BI16" i="1"/>
  <c r="AC16" i="1" s="1"/>
  <c r="C15" i="2" s="1"/>
  <c r="BH45" i="1"/>
  <c r="AB45" i="1" s="1"/>
  <c r="AX68" i="1"/>
  <c r="AV68" i="1" s="1"/>
  <c r="BH78" i="1"/>
  <c r="AB78" i="1" s="1"/>
  <c r="AW108" i="1"/>
  <c r="BI113" i="1"/>
  <c r="BH117" i="1"/>
  <c r="AX18" i="1"/>
  <c r="AV21" i="1"/>
  <c r="AV29" i="1"/>
  <c r="AW39" i="1"/>
  <c r="AX41" i="1"/>
  <c r="AV41" i="1" s="1"/>
  <c r="BC43" i="1"/>
  <c r="AW47" i="1"/>
  <c r="AX50" i="1"/>
  <c r="BC50" i="1" s="1"/>
  <c r="AV54" i="1"/>
  <c r="AV62" i="1"/>
  <c r="BC76" i="1"/>
  <c r="AL84" i="1"/>
  <c r="AU83" i="1" s="1"/>
  <c r="AL90" i="1"/>
  <c r="AU89" i="1" s="1"/>
  <c r="BC96" i="1"/>
  <c r="AV105" i="1"/>
  <c r="AL111" i="1"/>
  <c r="AU110" i="1" s="1"/>
  <c r="AV127" i="1"/>
  <c r="BH14" i="1"/>
  <c r="AB14" i="1" s="1"/>
  <c r="K37" i="1"/>
  <c r="BI74" i="1"/>
  <c r="AC74" i="1" s="1"/>
  <c r="I86" i="1"/>
  <c r="BI87" i="1"/>
  <c r="AG87" i="1" s="1"/>
  <c r="C19" i="2" s="1"/>
  <c r="BI94" i="1"/>
  <c r="AG94" i="1" s="1"/>
  <c r="BI108" i="1"/>
  <c r="AG108" i="1" s="1"/>
  <c r="BH112" i="1"/>
  <c r="K116" i="1"/>
  <c r="BH123" i="1"/>
  <c r="AV139" i="1"/>
  <c r="AV141" i="1"/>
  <c r="I18" i="3"/>
  <c r="F29" i="3" s="1"/>
  <c r="BH43" i="1"/>
  <c r="AB43" i="1" s="1"/>
  <c r="AX67" i="1"/>
  <c r="J72" i="1"/>
  <c r="AW72" i="1"/>
  <c r="BH76" i="1"/>
  <c r="AB76" i="1" s="1"/>
  <c r="I84" i="1"/>
  <c r="I83" i="1" s="1"/>
  <c r="AV84" i="1"/>
  <c r="J86" i="1"/>
  <c r="J85" i="1" s="1"/>
  <c r="AW86" i="1"/>
  <c r="I90" i="1"/>
  <c r="I89" i="1" s="1"/>
  <c r="AV90" i="1"/>
  <c r="J92" i="1"/>
  <c r="J91" i="1" s="1"/>
  <c r="AW92" i="1"/>
  <c r="BH96" i="1"/>
  <c r="AF96" i="1" s="1"/>
  <c r="J107" i="1"/>
  <c r="AW107" i="1"/>
  <c r="I111" i="1"/>
  <c r="AV111" i="1"/>
  <c r="BI112" i="1"/>
  <c r="AX120" i="1"/>
  <c r="I122" i="1"/>
  <c r="AV122" i="1"/>
  <c r="BI123" i="1"/>
  <c r="J129" i="1"/>
  <c r="AW129" i="1"/>
  <c r="J139" i="1"/>
  <c r="J137" i="1" s="1"/>
  <c r="J130" i="1" s="1"/>
  <c r="J141" i="1"/>
  <c r="J140" i="1" s="1"/>
  <c r="K137" i="1"/>
  <c r="K130" i="1" s="1"/>
  <c r="AV16" i="1"/>
  <c r="BI18" i="1"/>
  <c r="AC18" i="1" s="1"/>
  <c r="AV113" i="1"/>
  <c r="J16" i="1"/>
  <c r="I38" i="1"/>
  <c r="I37" i="1" s="1"/>
  <c r="I45" i="1"/>
  <c r="I42" i="1" s="1"/>
  <c r="I78" i="1"/>
  <c r="J80" i="1"/>
  <c r="J79" i="1" s="1"/>
  <c r="I97" i="1"/>
  <c r="J113" i="1"/>
  <c r="J110" i="1" s="1"/>
  <c r="I117" i="1"/>
  <c r="I116" i="1" s="1"/>
  <c r="J124" i="1"/>
  <c r="J116" i="1" s="1"/>
  <c r="AW38" i="1"/>
  <c r="AW97" i="1"/>
  <c r="AX124" i="1"/>
  <c r="AV124" i="1" s="1"/>
  <c r="AX80" i="1"/>
  <c r="AV80" i="1" s="1"/>
  <c r="J20" i="1"/>
  <c r="AW20" i="1"/>
  <c r="I24" i="1"/>
  <c r="I23" i="1" s="1"/>
  <c r="I34" i="1"/>
  <c r="I33" i="1" s="1"/>
  <c r="J36" i="1"/>
  <c r="J35" i="1" s="1"/>
  <c r="AW36" i="1"/>
  <c r="AX38" i="1"/>
  <c r="AX45" i="1"/>
  <c r="BC45" i="1" s="1"/>
  <c r="J52" i="1"/>
  <c r="J49" i="1" s="1"/>
  <c r="AW52" i="1"/>
  <c r="I57" i="1"/>
  <c r="I56" i="1" s="1"/>
  <c r="AV57" i="1"/>
  <c r="I66" i="1"/>
  <c r="I63" i="1" s="1"/>
  <c r="AX78" i="1"/>
  <c r="BC78" i="1" s="1"/>
  <c r="AX97" i="1"/>
  <c r="I101" i="1"/>
  <c r="J103" i="1"/>
  <c r="J102" i="1" s="1"/>
  <c r="AW103" i="1"/>
  <c r="J115" i="1"/>
  <c r="AW115" i="1"/>
  <c r="AX117" i="1"/>
  <c r="BC117" i="1" s="1"/>
  <c r="I119" i="1"/>
  <c r="J126" i="1"/>
  <c r="AW126" i="1"/>
  <c r="I134" i="1"/>
  <c r="I131" i="1" s="1"/>
  <c r="I130" i="1" s="1"/>
  <c r="AV134" i="1"/>
  <c r="I136" i="1"/>
  <c r="I135" i="1" s="1"/>
  <c r="I138" i="1"/>
  <c r="I137" i="1" s="1"/>
  <c r="I27" i="3"/>
  <c r="AW22" i="1"/>
  <c r="AX24" i="1"/>
  <c r="AV24" i="1" s="1"/>
  <c r="AW31" i="1"/>
  <c r="AX34" i="1"/>
  <c r="BC34" i="1" s="1"/>
  <c r="AW55" i="1"/>
  <c r="AX57" i="1"/>
  <c r="AX66" i="1"/>
  <c r="AV66" i="1" s="1"/>
  <c r="AW70" i="1"/>
  <c r="AX101" i="1"/>
  <c r="AV101" i="1" s="1"/>
  <c r="AW106" i="1"/>
  <c r="AX119" i="1"/>
  <c r="AV119" i="1" s="1"/>
  <c r="AV121" i="1"/>
  <c r="AW128" i="1"/>
  <c r="AX134" i="1"/>
  <c r="BC134" i="1" s="1"/>
  <c r="AX136" i="1"/>
  <c r="BC136" i="1" s="1"/>
  <c r="AX138" i="1"/>
  <c r="AV138" i="1" s="1"/>
  <c r="K63" i="1"/>
  <c r="I74" i="1"/>
  <c r="I69" i="1" s="1"/>
  <c r="I87" i="1"/>
  <c r="I94" i="1"/>
  <c r="I91" i="1" s="1"/>
  <c r="K42" i="1"/>
  <c r="I41" i="1"/>
  <c r="I40" i="1" s="1"/>
  <c r="J43" i="1"/>
  <c r="J42" i="1" s="1"/>
  <c r="I50" i="1"/>
  <c r="I49" i="1" s="1"/>
  <c r="J76" i="1"/>
  <c r="K85" i="1"/>
  <c r="K91" i="1"/>
  <c r="K142" i="1" s="1"/>
  <c r="J96" i="1"/>
  <c r="I114" i="1"/>
  <c r="I125" i="1"/>
  <c r="I133" i="1"/>
  <c r="K140" i="1"/>
  <c r="I18" i="1"/>
  <c r="J13" i="1" l="1"/>
  <c r="K12" i="1"/>
  <c r="BC52" i="1"/>
  <c r="AV52" i="1"/>
  <c r="AV47" i="1"/>
  <c r="BC47" i="1"/>
  <c r="BC86" i="1"/>
  <c r="AV86" i="1"/>
  <c r="BC55" i="1"/>
  <c r="AV55" i="1"/>
  <c r="I85" i="1"/>
  <c r="I12" i="1" s="1"/>
  <c r="BC92" i="1"/>
  <c r="AV92" i="1"/>
  <c r="BC126" i="1"/>
  <c r="AV126" i="1"/>
  <c r="BC115" i="1"/>
  <c r="AV115" i="1"/>
  <c r="BC36" i="1"/>
  <c r="AV36" i="1"/>
  <c r="AV39" i="1"/>
  <c r="BC39" i="1"/>
  <c r="BC68" i="1"/>
  <c r="BC80" i="1"/>
  <c r="BC41" i="1"/>
  <c r="BC103" i="1"/>
  <c r="AV103" i="1"/>
  <c r="AV34" i="1"/>
  <c r="BC120" i="1"/>
  <c r="AV120" i="1"/>
  <c r="BC72" i="1"/>
  <c r="AV72" i="1"/>
  <c r="C14" i="2"/>
  <c r="C22" i="2" s="1"/>
  <c r="AV117" i="1"/>
  <c r="J69" i="1"/>
  <c r="C29" i="2"/>
  <c r="BC106" i="1"/>
  <c r="AV106" i="1"/>
  <c r="BC70" i="1"/>
  <c r="AV70" i="1"/>
  <c r="J12" i="1"/>
  <c r="BC67" i="1"/>
  <c r="AV67" i="1"/>
  <c r="BC124" i="1"/>
  <c r="BC97" i="1"/>
  <c r="AV97" i="1"/>
  <c r="BC22" i="1"/>
  <c r="AV22" i="1"/>
  <c r="I110" i="1"/>
  <c r="AV45" i="1"/>
  <c r="BC119" i="1"/>
  <c r="BC20" i="1"/>
  <c r="AV20" i="1"/>
  <c r="BC38" i="1"/>
  <c r="AV38" i="1"/>
  <c r="BC129" i="1"/>
  <c r="AV129" i="1"/>
  <c r="BC107" i="1"/>
  <c r="AV107" i="1"/>
  <c r="AV128" i="1"/>
  <c r="BC128" i="1"/>
  <c r="AV136" i="1"/>
  <c r="BC108" i="1"/>
  <c r="AV108" i="1"/>
  <c r="BC31" i="1"/>
  <c r="AV31" i="1"/>
  <c r="F29" i="2" l="1"/>
  <c r="I28" i="2"/>
  <c r="I29" i="2" s="1"/>
</calcChain>
</file>

<file path=xl/sharedStrings.xml><?xml version="1.0" encoding="utf-8"?>
<sst xmlns="http://schemas.openxmlformats.org/spreadsheetml/2006/main" count="1597" uniqueCount="458">
  <si>
    <t>Slepý stavební rozpočet</t>
  </si>
  <si>
    <t>Název stavby:</t>
  </si>
  <si>
    <t>Stavební úprava parkoviště ul. Čapkova - Bílina</t>
  </si>
  <si>
    <t>Doba výstavby:</t>
  </si>
  <si>
    <t>183 dní</t>
  </si>
  <si>
    <t>Objednatel:</t>
  </si>
  <si>
    <t> </t>
  </si>
  <si>
    <t>Druh stavby:</t>
  </si>
  <si>
    <t>stavební úprava</t>
  </si>
  <si>
    <t>Začátek výstavby:</t>
  </si>
  <si>
    <t>01.04.2026</t>
  </si>
  <si>
    <t>Projektant:</t>
  </si>
  <si>
    <t>Bau-projekt spol .s.r.o.</t>
  </si>
  <si>
    <t>Lokalita:</t>
  </si>
  <si>
    <t>Bílina ul. Čapkova</t>
  </si>
  <si>
    <t>Konec výstavby:</t>
  </si>
  <si>
    <t>Zhotovitel:</t>
  </si>
  <si>
    <t>JKSO:</t>
  </si>
  <si>
    <t xml:space="preserve"> </t>
  </si>
  <si>
    <t>Zpracováno dne:</t>
  </si>
  <si>
    <t>26.05.2025</t>
  </si>
  <si>
    <t>Zpracoval:</t>
  </si>
  <si>
    <t>Bc. Jan Hyliš</t>
  </si>
  <si>
    <t>Č</t>
  </si>
  <si>
    <t>Objekt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</si>
  <si>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</si>
  <si>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</si>
  <si>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</si>
  <si>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</si>
  <si>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</si>
  <si>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</si>
  <si>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</si>
  <si>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</si>
  <si>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</si>
  <si>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</si>
  <si>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</si>
  <si>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</si>
  <si>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</si>
  <si>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</si>
  <si>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</si>
  <si>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</si>
  <si>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</si>
  <si>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</si>
  <si>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</si>
  <si>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</si>
  <si>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</si>
  <si>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</si>
  <si>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</si>
  <si>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</si>
  <si>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</si>
  <si>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</si>
  <si>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</si>
  <si>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</si>
  <si>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</si>
  <si>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N</t>
  </si>
  <si>
    <t>Nezařazeno</t>
  </si>
  <si>
    <t>11</t>
  </si>
  <si>
    <t>Přípravné a přidružené práce</t>
  </si>
  <si>
    <t>1</t>
  </si>
  <si>
    <t>113107222RAE</t>
  </si>
  <si>
    <t>Odstranění asfaltobetonové vozovky, plocha nad 50 m2</t>
  </si>
  <si>
    <t>m2</t>
  </si>
  <si>
    <t>RTS I / 2025</t>
  </si>
  <si>
    <t>11_</t>
  </si>
  <si>
    <t>N_1_</t>
  </si>
  <si>
    <t>N_</t>
  </si>
  <si>
    <t>P</t>
  </si>
  <si>
    <t>Varianta:</t>
  </si>
  <si>
    <t>včetně nakládání a odvozu na skládku do 10 km</t>
  </si>
  <si>
    <t>2</t>
  </si>
  <si>
    <t>113201011RAA</t>
  </si>
  <si>
    <t>Vytrhání obrubníků silničních</t>
  </si>
  <si>
    <t>m</t>
  </si>
  <si>
    <t>včetně naložení a odvozu na skládku do 1 km</t>
  </si>
  <si>
    <t>3</t>
  </si>
  <si>
    <t>113201014RAA</t>
  </si>
  <si>
    <t>Vytrhání obrubníků zahradních</t>
  </si>
  <si>
    <t>4</t>
  </si>
  <si>
    <t>113108407R00</t>
  </si>
  <si>
    <t>Odstranění asfaltové vrstvy pl.nad 50 m2, tl. 7 cm</t>
  </si>
  <si>
    <t>5</t>
  </si>
  <si>
    <t>113109410R00</t>
  </si>
  <si>
    <t>Odstranění podkladu pl.nad 50 m2, beton, tl. 10 cm</t>
  </si>
  <si>
    <t>6</t>
  </si>
  <si>
    <t>115201402R00</t>
  </si>
  <si>
    <t>Montáž  potrubí DN 200 - k UV</t>
  </si>
  <si>
    <t>12</t>
  </si>
  <si>
    <t>Odkopávky a prokopávky</t>
  </si>
  <si>
    <t>7</t>
  </si>
  <si>
    <t>121100001RAB</t>
  </si>
  <si>
    <t>Sejmutí ornice, naložení, odvoz a uložení</t>
  </si>
  <si>
    <t>m3</t>
  </si>
  <si>
    <t>12_</t>
  </si>
  <si>
    <t>odvoz do 5 km</t>
  </si>
  <si>
    <t>8</t>
  </si>
  <si>
    <t>122100010RAB</t>
  </si>
  <si>
    <t>Odkopávky nezapažené v hornině 1-4</t>
  </si>
  <si>
    <t>naložení, odvoz 5 km, uložení</t>
  </si>
  <si>
    <t>13</t>
  </si>
  <si>
    <t>Hloubené vykopávky</t>
  </si>
  <si>
    <t>9</t>
  </si>
  <si>
    <t>139200010RAA</t>
  </si>
  <si>
    <t>Výkop rýh v uzavřeném prostoru v hornině1-4</t>
  </si>
  <si>
    <t>13_</t>
  </si>
  <si>
    <t>rýha 30/50 cm, odvoz 10 km, uložení na skládku</t>
  </si>
  <si>
    <t>10</t>
  </si>
  <si>
    <t>139200010RAC</t>
  </si>
  <si>
    <t>rýha 60/120 cm, odvoz 10 km, uložení na skládku</t>
  </si>
  <si>
    <t>18</t>
  </si>
  <si>
    <t>Povrchové úpravy terénu</t>
  </si>
  <si>
    <t>181101102R00</t>
  </si>
  <si>
    <t>Úprava pláně v zářezech v hor. 1-4, se zhutněním</t>
  </si>
  <si>
    <t>18_</t>
  </si>
  <si>
    <t>21</t>
  </si>
  <si>
    <t>Úprava podloží a základové spáry</t>
  </si>
  <si>
    <t>212750010RA0</t>
  </si>
  <si>
    <t>Trativody z drenážních trubek</t>
  </si>
  <si>
    <t>21_</t>
  </si>
  <si>
    <t>N_2_</t>
  </si>
  <si>
    <t>28</t>
  </si>
  <si>
    <t>Zpevňování hornin a konstrukcí</t>
  </si>
  <si>
    <t>289971211R00</t>
  </si>
  <si>
    <t>Zřízení vrstvy z geotextilie sklon do 1:5 š.do 3 m</t>
  </si>
  <si>
    <t>28_</t>
  </si>
  <si>
    <t>14</t>
  </si>
  <si>
    <t>289970111R00</t>
  </si>
  <si>
    <t>Vrstva geotextilie  300g/m2</t>
  </si>
  <si>
    <t>38</t>
  </si>
  <si>
    <t>Různé kompletní konstrukce nedělitelné do stav. dílů</t>
  </si>
  <si>
    <t>15</t>
  </si>
  <si>
    <t>388996141R00</t>
  </si>
  <si>
    <t>Chránička kabelu z HDPE do DN 110 mm, výkop</t>
  </si>
  <si>
    <t>38_</t>
  </si>
  <si>
    <t>N_3_</t>
  </si>
  <si>
    <t>56</t>
  </si>
  <si>
    <t>Podkladní vrstvy komunikací, letišť a ploch</t>
  </si>
  <si>
    <t>16</t>
  </si>
  <si>
    <t>564861111RT2</t>
  </si>
  <si>
    <t>Podklad ze štěrkodrti po zhutnění tloušťky 20 cm</t>
  </si>
  <si>
    <t>56_</t>
  </si>
  <si>
    <t>N_5_</t>
  </si>
  <si>
    <t>štěrkodrť frakce 0-32 mm</t>
  </si>
  <si>
    <t>17</t>
  </si>
  <si>
    <t>564851111RT2</t>
  </si>
  <si>
    <t>Podklad ze štěrkodrti po zhutnění tloušťky 15 cm</t>
  </si>
  <si>
    <t>565161111RT2</t>
  </si>
  <si>
    <t>Podklad z obal kam.ACP 16+,ACP 22+,do 3 m,tl. 8 cm</t>
  </si>
  <si>
    <t>plochy 201-1000 m2</t>
  </si>
  <si>
    <t>57</t>
  </si>
  <si>
    <t>Kryty pozemních komunikací, letišť a ploch z kameniva nebo živičné</t>
  </si>
  <si>
    <t>19</t>
  </si>
  <si>
    <t>577152123RT2</t>
  </si>
  <si>
    <t>Beton asfalt. ACL 16+ ložný, š. nad 3 m, tl. 6 cm</t>
  </si>
  <si>
    <t>57_</t>
  </si>
  <si>
    <t>20</t>
  </si>
  <si>
    <t>577132211RT2</t>
  </si>
  <si>
    <t>Beton asfalt. ACO 8, nebo ACO 11, nad 3 m, 4 cm</t>
  </si>
  <si>
    <t>573231123R00</t>
  </si>
  <si>
    <t>Postřik spojovací z KAE, množství zbytkového asfaltu 0,25 kg/m2</t>
  </si>
  <si>
    <t>22</t>
  </si>
  <si>
    <t>573111121R00</t>
  </si>
  <si>
    <t>Postřik infiltrační, množství zbytkového asfaltového pojiva 0,40 kg/m2</t>
  </si>
  <si>
    <t>59</t>
  </si>
  <si>
    <t>Kryty pozemních komunikací, letišť a ploch dlážděných (předlažby)</t>
  </si>
  <si>
    <t>23</t>
  </si>
  <si>
    <t>596040011RAB</t>
  </si>
  <si>
    <t>Chodník dlážděný D2-D-1--PII a PIII, tl. 270 mm</t>
  </si>
  <si>
    <t>59_</t>
  </si>
  <si>
    <t>bez výkopových prací</t>
  </si>
  <si>
    <t>24</t>
  </si>
  <si>
    <t>591040036RAB</t>
  </si>
  <si>
    <t>Komunikace s krytem dlážděným- dlažba parkovací stání  D1-D-3-VI-PIII, tl. 420 mm</t>
  </si>
  <si>
    <t>721</t>
  </si>
  <si>
    <t>Vnitřní kanalizace</t>
  </si>
  <si>
    <t>25</t>
  </si>
  <si>
    <t>721210831R00</t>
  </si>
  <si>
    <t>Demontáž dvorní vpusti s obetonávkou</t>
  </si>
  <si>
    <t>kus</t>
  </si>
  <si>
    <t>721_</t>
  </si>
  <si>
    <t>N_72_</t>
  </si>
  <si>
    <t>89</t>
  </si>
  <si>
    <t>Ostatní konstrukce a práce na trubním vedení</t>
  </si>
  <si>
    <t>26</t>
  </si>
  <si>
    <t>895941311RT2</t>
  </si>
  <si>
    <t>Zřízení vpusti uliční z dílců typ UVB - 50</t>
  </si>
  <si>
    <t>89_</t>
  </si>
  <si>
    <t>N_8_</t>
  </si>
  <si>
    <t>včetně dodávky dílců pro uliční vpusti TBV</t>
  </si>
  <si>
    <t>27</t>
  </si>
  <si>
    <t>899332111R00</t>
  </si>
  <si>
    <t>Výšková úprava vstupu do 20 cm, snížení poklopu</t>
  </si>
  <si>
    <t>899431111R00</t>
  </si>
  <si>
    <t>Výšková úprava do 20 cm, zvýšení krytu šoupěte</t>
  </si>
  <si>
    <t>29</t>
  </si>
  <si>
    <t>899331111R00</t>
  </si>
  <si>
    <t>Výšková úprava vstupu do 20 cm, zvýšení poklopu</t>
  </si>
  <si>
    <t>91</t>
  </si>
  <si>
    <t>Doplňující konstrukce a práce na pozemních komunikacích a zpevněných plochách</t>
  </si>
  <si>
    <t>30</t>
  </si>
  <si>
    <t>917862114RT8</t>
  </si>
  <si>
    <t>Osazení stojatého obrubníku betonového, s boční opěrou, do lože z betonu C 25/35</t>
  </si>
  <si>
    <t>91_</t>
  </si>
  <si>
    <t>N_9_</t>
  </si>
  <si>
    <t>včetně obrubníku 1000 x 150 x 300 mm</t>
  </si>
  <si>
    <t>31</t>
  </si>
  <si>
    <t>917862114RT5</t>
  </si>
  <si>
    <t>včetně obrubníku 1000 x 100 x 250 mm</t>
  </si>
  <si>
    <t>32</t>
  </si>
  <si>
    <t>919723212R00</t>
  </si>
  <si>
    <t>Dilatační spáry řez. podélné 9 mm, zalití za tepla</t>
  </si>
  <si>
    <t>33</t>
  </si>
  <si>
    <t>919735113R00</t>
  </si>
  <si>
    <t>Řezání stávajícího živičného krytu tl. 10 - 15 cm</t>
  </si>
  <si>
    <t>34</t>
  </si>
  <si>
    <t>914001121RT6</t>
  </si>
  <si>
    <t>Osazení svislé dopravní značky pl. do 1 m2 a sloupku, s dod. Al patky a beton. základu</t>
  </si>
  <si>
    <t>včetně dodávky sloupku a značky</t>
  </si>
  <si>
    <t>35</t>
  </si>
  <si>
    <t>915721121R00</t>
  </si>
  <si>
    <t>Vodorovné značení stopčar,zeber atd.plastem,nehluč</t>
  </si>
  <si>
    <t>97</t>
  </si>
  <si>
    <t>Prorážení otvorů a ostatní bourací práce</t>
  </si>
  <si>
    <t>36</t>
  </si>
  <si>
    <t>979100014RA0</t>
  </si>
  <si>
    <t>Odvoz suti a vybouraných hmot do 15 km, vnitrostaveništní přesun do 25 m</t>
  </si>
  <si>
    <t>t</t>
  </si>
  <si>
    <t>97_</t>
  </si>
  <si>
    <t>H22</t>
  </si>
  <si>
    <t>Komunikace pozemní a letiště</t>
  </si>
  <si>
    <t>37</t>
  </si>
  <si>
    <t>998225311R00</t>
  </si>
  <si>
    <t>Přesun hmot, oprava komunikací, kryt živič. a bet.</t>
  </si>
  <si>
    <t>H22_</t>
  </si>
  <si>
    <t>H28</t>
  </si>
  <si>
    <t>Vedení elektrická a dráhy visuté</t>
  </si>
  <si>
    <t>998289011R00</t>
  </si>
  <si>
    <t>Přesun hmot pro kabelovody jakéhokoliv rozsahu</t>
  </si>
  <si>
    <t>H28_</t>
  </si>
  <si>
    <t>M21</t>
  </si>
  <si>
    <t>Elektromontáže</t>
  </si>
  <si>
    <t>39</t>
  </si>
  <si>
    <t>210061221R00</t>
  </si>
  <si>
    <t>Zakotvení/odkotvení vodičů,stožárů 1duchého ved.</t>
  </si>
  <si>
    <t>M21_</t>
  </si>
  <si>
    <t>40</t>
  </si>
  <si>
    <t>210290403R00</t>
  </si>
  <si>
    <t>Výměna vodičů - stahovacích svítidel</t>
  </si>
  <si>
    <t>41</t>
  </si>
  <si>
    <t>210201533R00</t>
  </si>
  <si>
    <t>Zapojení LED svítidla ve skříni</t>
  </si>
  <si>
    <t>M22</t>
  </si>
  <si>
    <t>Montáže sdělovací a zabezpečovací techniky</t>
  </si>
  <si>
    <t>42</t>
  </si>
  <si>
    <t>229820021R00</t>
  </si>
  <si>
    <t>Demontáž osvětlení výměn</t>
  </si>
  <si>
    <t>M22_</t>
  </si>
  <si>
    <t>M46</t>
  </si>
  <si>
    <t>Zemní práce při montážích</t>
  </si>
  <si>
    <t>43</t>
  </si>
  <si>
    <t>460030112RT5</t>
  </si>
  <si>
    <t>Kácení stromů průměru nad 30 cm</t>
  </si>
  <si>
    <t>M46_</t>
  </si>
  <si>
    <t>stromy průměru nad 70 cm</t>
  </si>
  <si>
    <t>44</t>
  </si>
  <si>
    <t>460200654R00</t>
  </si>
  <si>
    <t>Výkop kabelové rýhy 65/90 cm  hor.4</t>
  </si>
  <si>
    <t>45</t>
  </si>
  <si>
    <t>460570854R00</t>
  </si>
  <si>
    <t>Zához rýhy 80/90 cm, hornina tř. 4 se zhutněním</t>
  </si>
  <si>
    <t>46</t>
  </si>
  <si>
    <t>460050304R00</t>
  </si>
  <si>
    <t>Jáma stožáru J s patkou EZP, v rovně, hor.4</t>
  </si>
  <si>
    <t>47</t>
  </si>
  <si>
    <t>460620006RT1</t>
  </si>
  <si>
    <t>Osetí povrchu trávou</t>
  </si>
  <si>
    <t>včetně dodávky osiva</t>
  </si>
  <si>
    <t>48</t>
  </si>
  <si>
    <t>460600001RT8</t>
  </si>
  <si>
    <t>Naložení a odvoz zeminy</t>
  </si>
  <si>
    <t>odvoz na vzdálenost 10000 m</t>
  </si>
  <si>
    <t>49</t>
  </si>
  <si>
    <t>460570533R00</t>
  </si>
  <si>
    <t>Zához rýhy 60/130 cm, hornina tř. 3, se zhutněním</t>
  </si>
  <si>
    <t>M65</t>
  </si>
  <si>
    <t>Elektroinstalace</t>
  </si>
  <si>
    <t>50</t>
  </si>
  <si>
    <t>650124271RT2</t>
  </si>
  <si>
    <t>Uložení kabelu Cu 5 x 16 mm2 pevně</t>
  </si>
  <si>
    <t>M65_</t>
  </si>
  <si>
    <t>včetně dodávky kabelu CYKY 5 x 16 mm2</t>
  </si>
  <si>
    <t>51</t>
  </si>
  <si>
    <t>650106462R00</t>
  </si>
  <si>
    <t>Montáž elektrovýzbroje stožáru pro 2 okruhy</t>
  </si>
  <si>
    <t>52</t>
  </si>
  <si>
    <t>650511211R00</t>
  </si>
  <si>
    <t>Měření intenzity osvětlení</t>
  </si>
  <si>
    <t>53</t>
  </si>
  <si>
    <t>650516819R00</t>
  </si>
  <si>
    <t>Revize elektro - VO</t>
  </si>
  <si>
    <t>54</t>
  </si>
  <si>
    <t>650106121R00</t>
  </si>
  <si>
    <t>Montáž svítidla veřejného osvětlení na výložník</t>
  </si>
  <si>
    <t>55</t>
  </si>
  <si>
    <t>650106313R00</t>
  </si>
  <si>
    <t>Montáž výložníku pro svítidlo 1 ramenný nad 35 kg</t>
  </si>
  <si>
    <t>S</t>
  </si>
  <si>
    <t>Přesuny sutí</t>
  </si>
  <si>
    <t>979981104R00</t>
  </si>
  <si>
    <t>Kontejner, přistavení na 24 h, odvoz a likvidace, suť bez příměsí, kapacita 9 t</t>
  </si>
  <si>
    <t>S_</t>
  </si>
  <si>
    <t>979999973R00</t>
  </si>
  <si>
    <t>Poplatek za uložení, zemina a kamení, (skup.170504)</t>
  </si>
  <si>
    <t>58</t>
  </si>
  <si>
    <t>979990261R00</t>
  </si>
  <si>
    <t>Poplatek za uložení asfaltové směsi obsahující dehet 170301 (N)</t>
  </si>
  <si>
    <t>979999982R00</t>
  </si>
  <si>
    <t>Poplatek za recyklaci betonu kusovost nad 1600 cm2 (skup.170101)</t>
  </si>
  <si>
    <t>60</t>
  </si>
  <si>
    <t>979081121R00</t>
  </si>
  <si>
    <t>Příplatek k odvozu za každý další 1 km</t>
  </si>
  <si>
    <t>M</t>
  </si>
  <si>
    <t>Ostatní materiál</t>
  </si>
  <si>
    <t>61</t>
  </si>
  <si>
    <t>583423603</t>
  </si>
  <si>
    <t>Kamenivo drcené 0/63</t>
  </si>
  <si>
    <t>0</t>
  </si>
  <si>
    <t>Z99999_</t>
  </si>
  <si>
    <t>N_Z_</t>
  </si>
  <si>
    <t>62</t>
  </si>
  <si>
    <t>592452730</t>
  </si>
  <si>
    <t>Dlažba betonová  barevná - pro nevidomé - hmatové prvky</t>
  </si>
  <si>
    <t>63</t>
  </si>
  <si>
    <t>316735702</t>
  </si>
  <si>
    <t>Stožár osvětlovací uliční K 4-133/89/60</t>
  </si>
  <si>
    <t>64</t>
  </si>
  <si>
    <t>348360222</t>
  </si>
  <si>
    <t>Svítidlo LED parkové 60 W</t>
  </si>
  <si>
    <t>65</t>
  </si>
  <si>
    <t>589221592</t>
  </si>
  <si>
    <t>Beton C 16/20 - X0 - Dmax 8 mm - S3 - struskoportlandský CEM II</t>
  </si>
  <si>
    <t>66</t>
  </si>
  <si>
    <t>15615235</t>
  </si>
  <si>
    <t>Drát tažený pozinkovaný 11 343 D 10,00 mm</t>
  </si>
  <si>
    <t>kg</t>
  </si>
  <si>
    <t>67</t>
  </si>
  <si>
    <t>35436019</t>
  </si>
  <si>
    <t>Spojka pro spojování cyky kabelů 4x16</t>
  </si>
  <si>
    <t>68</t>
  </si>
  <si>
    <t>58330002.A</t>
  </si>
  <si>
    <t>Štěrkopísek k zásypu</t>
  </si>
  <si>
    <t>69</t>
  </si>
  <si>
    <t>283141491</t>
  </si>
  <si>
    <t>Fólie výstražná š. 80 mm červeno-bílá</t>
  </si>
  <si>
    <t>70</t>
  </si>
  <si>
    <t>00572100</t>
  </si>
  <si>
    <t>Osivo jetel luční červený</t>
  </si>
  <si>
    <t>71</t>
  </si>
  <si>
    <t>592171600</t>
  </si>
  <si>
    <t>Obrubník silniční - ostrůvkový  š= 30 cm</t>
  </si>
  <si>
    <t>72</t>
  </si>
  <si>
    <t>286544941</t>
  </si>
  <si>
    <t>Odbočka 45° kanalizační PRAGMA+ID DN 400/200 PP</t>
  </si>
  <si>
    <t>73</t>
  </si>
  <si>
    <t>VORN</t>
  </si>
  <si>
    <t>Vedlejší a ostatní rozpočtové náklady</t>
  </si>
  <si>
    <t>01VRN</t>
  </si>
  <si>
    <t>Průzkumy, geodetické a projektové práce</t>
  </si>
  <si>
    <t>74</t>
  </si>
  <si>
    <t>013002VRN</t>
  </si>
  <si>
    <t>Projektové práce - skutečné provedení</t>
  </si>
  <si>
    <t>Soubor</t>
  </si>
  <si>
    <t>99</t>
  </si>
  <si>
    <t>01VRN_</t>
  </si>
  <si>
    <t>N_Â _</t>
  </si>
  <si>
    <t>75</t>
  </si>
  <si>
    <t>Projektové práce - realizační PD</t>
  </si>
  <si>
    <t>76</t>
  </si>
  <si>
    <t>012002VRN</t>
  </si>
  <si>
    <t>Geodetické práce</t>
  </si>
  <si>
    <t>03VRN</t>
  </si>
  <si>
    <t>Zařízení staveniště</t>
  </si>
  <si>
    <t>77</t>
  </si>
  <si>
    <t>030001VRN</t>
  </si>
  <si>
    <t>03VRN_</t>
  </si>
  <si>
    <t>04VRN</t>
  </si>
  <si>
    <t>Inženýrské činnosti</t>
  </si>
  <si>
    <t>78</t>
  </si>
  <si>
    <t>043002VRN</t>
  </si>
  <si>
    <t>Zkoušky - hutnící . stt. deskou</t>
  </si>
  <si>
    <t>04VRN_</t>
  </si>
  <si>
    <t>79</t>
  </si>
  <si>
    <t>Zkoušky - PAU asfalty</t>
  </si>
  <si>
    <t>07VRN</t>
  </si>
  <si>
    <t>Provozní vlivy</t>
  </si>
  <si>
    <t>80</t>
  </si>
  <si>
    <t>072002VRN</t>
  </si>
  <si>
    <t>Silniční provoz - DIO, DIR a dopravní značení</t>
  </si>
  <si>
    <t>07VRN_</t>
  </si>
  <si>
    <t>Celkem:</t>
  </si>
  <si>
    <t>Poznámka: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</si>
  <si>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</si>
  <si>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</si>
  <si>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</si>
  <si>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</si>
  <si>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</si>
  <si>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</si>
  <si>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</si>
  <si>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</si>
  <si>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</si>
  <si>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</si>
  <si>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</si>
  <si>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</si>
  <si>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</si>
  <si>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</si>
  <si>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</si>
  <si>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</si>
  <si>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</si>
  <si>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</si>
  <si>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</si>
  <si>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</si>
  <si>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</si>
  <si>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</si>
  <si>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</si>
  <si>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</si>
  <si>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</si>
  <si>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</si>
  <si>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</si>
  <si>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</si>
  <si>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</si>
  <si>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</si>
  <si>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</si>
  <si>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</si>
  <si>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</si>
  <si>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</si>
  <si>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</si>
  <si>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</si>
  <si>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</si>
  <si>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</si>
  <si>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</si>
  <si>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</si>
  <si>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</si>
  <si>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</si>
  <si>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</si>
  <si>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</si>
  <si>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</si>
  <si>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</si>
  <si>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</si>
  <si>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</si>
  <si>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</si>
  <si>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</si>
  <si>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</si>
  <si>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Příprava staveniště</t>
  </si>
  <si>
    <t>Finanční náklady</t>
  </si>
  <si>
    <t>Náklady na pracovníky</t>
  </si>
  <si>
    <t>Ostatní náklady</t>
  </si>
  <si>
    <t>Vlastní VORN</t>
  </si>
  <si>
    <t>Celkem VORN</t>
  </si>
  <si>
    <t xml:space="preserve">Osazení stojatého obrubníku betonového, s boční opěrou, do lože z betonu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</si>
</sst>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5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5" xfId="0" applyBorder="1"/>
    <xf numFmtId="0" fontId="4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4" fontId="10" fillId="0" borderId="41" xfId="0" applyNumberFormat="1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4" fontId="10" fillId="0" borderId="48" xfId="0" applyNumberFormat="1" applyFont="1" applyBorder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4" fontId="10" fillId="0" borderId="39" xfId="0" applyNumberFormat="1" applyFont="1" applyBorder="1" applyAlignment="1">
      <alignment horizontal="right" vertical="center"/>
    </xf>
    <xf numFmtId="4" fontId="10" fillId="0" borderId="25" xfId="0" applyNumberFormat="1" applyFont="1" applyBorder="1" applyAlignment="1">
      <alignment horizontal="right" vertical="center"/>
    </xf>
    <xf numFmtId="4" fontId="9" fillId="2" borderId="38" xfId="0" applyNumberFormat="1" applyFont="1" applyFill="1" applyBorder="1" applyAlignment="1">
      <alignment horizontal="right" vertical="center"/>
    </xf>
    <xf numFmtId="4" fontId="9" fillId="2" borderId="43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2" fillId="0" borderId="64" xfId="0" applyFont="1" applyBorder="1" applyAlignment="1">
      <alignment horizontal="right" vertical="center"/>
    </xf>
    <xf numFmtId="4" fontId="3" fillId="0" borderId="41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left" vertical="center"/>
    </xf>
    <xf numFmtId="4" fontId="3" fillId="0" borderId="68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2" xfId="0" applyFont="1" applyBorder="1" applyAlignment="1">
      <alignment horizontal="right" vertical="center"/>
    </xf>
    <xf numFmtId="4" fontId="2" fillId="0" borderId="72" xfId="0" applyNumberFormat="1" applyFont="1" applyBorder="1" applyAlignment="1">
      <alignment horizontal="right" vertical="center"/>
    </xf>
    <xf numFmtId="4" fontId="3" fillId="3" borderId="0" xfId="0" applyNumberFormat="1" applyFont="1" applyFill="1" applyAlignment="1" applyProtection="1">
      <alignment horizontal="right" vertical="center"/>
      <protection locked="0"/>
    </xf>
    <xf numFmtId="4" fontId="3" fillId="3" borderId="32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2" borderId="50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9" fillId="2" borderId="52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4" fontId="9" fillId="0" borderId="73" xfId="0" applyNumberFormat="1" applyFont="1" applyBorder="1" applyAlignment="1">
      <alignment horizontal="right" vertical="center"/>
    </xf>
    <xf numFmtId="0" fontId="9" fillId="0" borderId="70" xfId="0" applyFont="1" applyBorder="1" applyAlignment="1">
      <alignment horizontal="right" vertical="center"/>
    </xf>
    <xf numFmtId="0" fontId="9" fillId="0" borderId="7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44"/>
  <sheetViews>
    <sheetView tabSelected="1" workbookViewId="0">
      <pane ySplit="11" topLeftCell="A12" activePane="bottomLeft" state="frozen"/>
      <selection pane="bottomLeft" activeCell="H6" sqref="H6:H7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11" width="15.7109375" customWidth="1"/>
    <col min="12" max="12" width="13.4257812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64" t="s">
        <v>1</v>
      </c>
      <c r="B2" s="65"/>
      <c r="C2" s="65"/>
      <c r="D2" s="73" t="s">
        <v>2</v>
      </c>
      <c r="E2" s="74"/>
      <c r="F2" s="65" t="s">
        <v>3</v>
      </c>
      <c r="G2" s="65"/>
      <c r="H2" s="65" t="s">
        <v>4</v>
      </c>
      <c r="I2" s="71" t="s">
        <v>5</v>
      </c>
      <c r="J2" s="65" t="s">
        <v>6</v>
      </c>
      <c r="K2" s="65"/>
      <c r="L2" s="85"/>
    </row>
    <row r="3" spans="1:76" x14ac:dyDescent="0.25">
      <c r="A3" s="66"/>
      <c r="B3" s="67"/>
      <c r="C3" s="67"/>
      <c r="D3" s="75"/>
      <c r="E3" s="75"/>
      <c r="F3" s="67"/>
      <c r="G3" s="67"/>
      <c r="H3" s="67"/>
      <c r="I3" s="67"/>
      <c r="J3" s="67"/>
      <c r="K3" s="67"/>
      <c r="L3" s="86"/>
    </row>
    <row r="4" spans="1:76" x14ac:dyDescent="0.25">
      <c r="A4" s="68" t="s">
        <v>7</v>
      </c>
      <c r="B4" s="67"/>
      <c r="C4" s="67"/>
      <c r="D4" s="72" t="s">
        <v>8</v>
      </c>
      <c r="E4" s="67"/>
      <c r="F4" s="67" t="s">
        <v>9</v>
      </c>
      <c r="G4" s="67"/>
      <c r="H4" s="67" t="s">
        <v>10</v>
      </c>
      <c r="I4" s="72" t="s">
        <v>11</v>
      </c>
      <c r="J4" s="72" t="s">
        <v>12</v>
      </c>
      <c r="K4" s="67"/>
      <c r="L4" s="86"/>
    </row>
    <row r="5" spans="1:76" x14ac:dyDescent="0.2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86"/>
    </row>
    <row r="6" spans="1:76" x14ac:dyDescent="0.25">
      <c r="A6" s="68" t="s">
        <v>13</v>
      </c>
      <c r="B6" s="67"/>
      <c r="C6" s="67"/>
      <c r="D6" s="72" t="s">
        <v>14</v>
      </c>
      <c r="E6" s="67"/>
      <c r="F6" s="67" t="s">
        <v>15</v>
      </c>
      <c r="G6" s="67"/>
      <c r="H6" s="87"/>
      <c r="I6" s="72" t="s">
        <v>16</v>
      </c>
      <c r="J6" s="87" t="s">
        <v>6</v>
      </c>
      <c r="K6" s="87"/>
      <c r="L6" s="88"/>
    </row>
    <row r="7" spans="1:76" x14ac:dyDescent="0.25">
      <c r="A7" s="66"/>
      <c r="B7" s="67"/>
      <c r="C7" s="67"/>
      <c r="D7" s="67"/>
      <c r="E7" s="67"/>
      <c r="F7" s="67"/>
      <c r="G7" s="67"/>
      <c r="H7" s="87"/>
      <c r="I7" s="67"/>
      <c r="J7" s="87"/>
      <c r="K7" s="87"/>
      <c r="L7" s="88"/>
    </row>
    <row r="8" spans="1:76" x14ac:dyDescent="0.25">
      <c r="A8" s="68" t="s">
        <v>17</v>
      </c>
      <c r="B8" s="67"/>
      <c r="C8" s="67"/>
      <c r="D8" s="72" t="s">
        <v>18</v>
      </c>
      <c r="E8" s="67"/>
      <c r="F8" s="67" t="s">
        <v>19</v>
      </c>
      <c r="G8" s="67"/>
      <c r="H8" s="67" t="s">
        <v>20</v>
      </c>
      <c r="I8" s="72" t="s">
        <v>21</v>
      </c>
      <c r="J8" s="72" t="s">
        <v>22</v>
      </c>
      <c r="K8" s="67"/>
      <c r="L8" s="86"/>
    </row>
    <row r="9" spans="1:76" x14ac:dyDescent="0.2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89"/>
    </row>
    <row r="10" spans="1:76" x14ac:dyDescent="0.25">
      <c r="A10" s="5" t="s">
        <v>23</v>
      </c>
      <c r="B10" s="6" t="s">
        <v>24</v>
      </c>
      <c r="C10" s="6" t="s">
        <v>25</v>
      </c>
      <c r="D10" s="90" t="s">
        <v>26</v>
      </c>
      <c r="E10" s="91"/>
      <c r="F10" s="6" t="s">
        <v>27</v>
      </c>
      <c r="G10" s="7" t="s">
        <v>28</v>
      </c>
      <c r="H10" s="8" t="s">
        <v>29</v>
      </c>
      <c r="I10" s="78" t="s">
        <v>30</v>
      </c>
      <c r="J10" s="79"/>
      <c r="K10" s="80"/>
      <c r="L10" s="9" t="s">
        <v>31</v>
      </c>
      <c r="BK10" s="10" t="s">
        <v>32</v>
      </c>
      <c r="BL10" s="11" t="s">
        <v>33</v>
      </c>
      <c r="BW10" s="11" t="s">
        <v>34</v>
      </c>
    </row>
    <row r="11" spans="1:76" x14ac:dyDescent="0.25">
      <c r="A11" s="12" t="s">
        <v>18</v>
      </c>
      <c r="B11" s="13" t="s">
        <v>18</v>
      </c>
      <c r="C11" s="13" t="s">
        <v>18</v>
      </c>
      <c r="D11" s="76" t="s">
        <v>35</v>
      </c>
      <c r="E11" s="77"/>
      <c r="F11" s="13" t="s">
        <v>18</v>
      </c>
      <c r="G11" s="13" t="s">
        <v>18</v>
      </c>
      <c r="H11" s="14" t="s">
        <v>36</v>
      </c>
      <c r="I11" s="15" t="s">
        <v>37</v>
      </c>
      <c r="J11" s="16" t="s">
        <v>38</v>
      </c>
      <c r="K11" s="17" t="s">
        <v>39</v>
      </c>
      <c r="L11" s="18" t="s">
        <v>40</v>
      </c>
      <c r="Z11" s="10" t="s">
        <v>41</v>
      </c>
      <c r="AA11" s="10" t="s">
        <v>42</v>
      </c>
      <c r="AB11" s="10" t="s">
        <v>43</v>
      </c>
      <c r="AC11" s="10" t="s">
        <v>44</v>
      </c>
      <c r="AD11" s="10" t="s">
        <v>45</v>
      </c>
      <c r="AE11" s="10" t="s">
        <v>46</v>
      </c>
      <c r="AF11" s="10" t="s">
        <v>47</v>
      </c>
      <c r="AG11" s="10" t="s">
        <v>48</v>
      </c>
      <c r="AH11" s="10" t="s">
        <v>49</v>
      </c>
      <c r="BH11" s="10" t="s">
        <v>50</v>
      </c>
      <c r="BI11" s="10" t="s">
        <v>51</v>
      </c>
      <c r="BJ11" s="10" t="s">
        <v>52</v>
      </c>
    </row>
    <row r="12" spans="1:76" x14ac:dyDescent="0.25">
      <c r="A12" s="19" t="s">
        <v>53</v>
      </c>
      <c r="B12" s="20" t="s">
        <v>54</v>
      </c>
      <c r="C12" s="20" t="s">
        <v>53</v>
      </c>
      <c r="D12" s="81" t="s">
        <v>55</v>
      </c>
      <c r="E12" s="82"/>
      <c r="F12" s="21" t="s">
        <v>18</v>
      </c>
      <c r="G12" s="21" t="s">
        <v>18</v>
      </c>
      <c r="H12" s="21" t="s">
        <v>18</v>
      </c>
      <c r="I12" s="22">
        <f>I13+I23+I28+I33+I35+I37+I40+I42+I49+I56+I61+I63+I69+I79+I81+I83+I85+I89+I91+I102+I110+I116+I131+I135+I137+I140</f>
        <v>0</v>
      </c>
      <c r="J12" s="22">
        <f>J13+J23+J28+J33+J35+J37+J40+J42+J49+J56+J61+J63+J69+J79+J81+J83+J85+J89+J91+J102+J110+J116+J131+J135+J137+J140</f>
        <v>0</v>
      </c>
      <c r="K12" s="22">
        <f>K13+K23+K28+K33+K35+K37+K40+K42+K49+K56+K61+K63+K69+K79+K81+K83+K85+K89+K91+K102+K110+K116+K131+K135+K137+K140</f>
        <v>0</v>
      </c>
      <c r="L12" s="23" t="s">
        <v>53</v>
      </c>
    </row>
    <row r="13" spans="1:76" x14ac:dyDescent="0.25">
      <c r="A13" s="24" t="s">
        <v>53</v>
      </c>
      <c r="B13" s="25" t="s">
        <v>54</v>
      </c>
      <c r="C13" s="25" t="s">
        <v>56</v>
      </c>
      <c r="D13" s="83" t="s">
        <v>57</v>
      </c>
      <c r="E13" s="84"/>
      <c r="F13" s="26" t="s">
        <v>18</v>
      </c>
      <c r="G13" s="26" t="s">
        <v>18</v>
      </c>
      <c r="H13" s="26" t="s">
        <v>18</v>
      </c>
      <c r="I13" s="1">
        <f>SUM(I14:I22)</f>
        <v>0</v>
      </c>
      <c r="J13" s="1">
        <f>SUM(J14:J22)</f>
        <v>0</v>
      </c>
      <c r="K13" s="1">
        <f>SUM(K14:K22)</f>
        <v>0</v>
      </c>
      <c r="L13" s="27" t="s">
        <v>53</v>
      </c>
      <c r="AI13" s="10" t="s">
        <v>54</v>
      </c>
      <c r="AS13" s="1">
        <f>SUM(AJ14:AJ22)</f>
        <v>0</v>
      </c>
      <c r="AT13" s="1">
        <f>SUM(AK14:AK22)</f>
        <v>0</v>
      </c>
      <c r="AU13" s="1">
        <f>SUM(AL14:AL22)</f>
        <v>0</v>
      </c>
    </row>
    <row r="14" spans="1:76" x14ac:dyDescent="0.25">
      <c r="A14" s="2" t="s">
        <v>58</v>
      </c>
      <c r="B14" s="3" t="s">
        <v>54</v>
      </c>
      <c r="C14" s="3" t="s">
        <v>59</v>
      </c>
      <c r="D14" s="72" t="s">
        <v>60</v>
      </c>
      <c r="E14" s="67"/>
      <c r="F14" s="3" t="s">
        <v>61</v>
      </c>
      <c r="G14" s="28">
        <v>755</v>
      </c>
      <c r="H14" s="61">
        <v>0</v>
      </c>
      <c r="I14" s="28">
        <f>ROUND(G14*AO14,2)</f>
        <v>0</v>
      </c>
      <c r="J14" s="28">
        <f>ROUND(G14*AP14,2)</f>
        <v>0</v>
      </c>
      <c r="K14" s="28">
        <f>ROUND(G14*H14,2)</f>
        <v>0</v>
      </c>
      <c r="L14" s="29" t="s">
        <v>62</v>
      </c>
      <c r="Z14" s="28">
        <f>ROUND(IF(AQ14="5",BJ14,0),2)</f>
        <v>0</v>
      </c>
      <c r="AB14" s="28">
        <f>ROUND(IF(AQ14="1",BH14,0),2)</f>
        <v>0</v>
      </c>
      <c r="AC14" s="28">
        <f>ROUND(IF(AQ14="1",BI14,0),2)</f>
        <v>0</v>
      </c>
      <c r="AD14" s="28">
        <f>ROUND(IF(AQ14="7",BH14,0),2)</f>
        <v>0</v>
      </c>
      <c r="AE14" s="28">
        <f>ROUND(IF(AQ14="7",BI14,0),2)</f>
        <v>0</v>
      </c>
      <c r="AF14" s="28">
        <f>ROUND(IF(AQ14="2",BH14,0),2)</f>
        <v>0</v>
      </c>
      <c r="AG14" s="28">
        <f>ROUND(IF(AQ14="2",BI14,0),2)</f>
        <v>0</v>
      </c>
      <c r="AH14" s="28">
        <f>ROUND(IF(AQ14="0",BJ14,0),2)</f>
        <v>0</v>
      </c>
      <c r="AI14" s="10" t="s">
        <v>54</v>
      </c>
      <c r="AJ14" s="28">
        <f>IF(AN14=0,K14,0)</f>
        <v>0</v>
      </c>
      <c r="AK14" s="28">
        <f>IF(AN14=12,K14,0)</f>
        <v>0</v>
      </c>
      <c r="AL14" s="28">
        <f>IF(AN14=21,K14,0)</f>
        <v>0</v>
      </c>
      <c r="AN14" s="28">
        <v>21</v>
      </c>
      <c r="AO14" s="28">
        <f>H14*0.014804977</f>
        <v>0</v>
      </c>
      <c r="AP14" s="28">
        <f>H14*(1-0.014804977)</f>
        <v>0</v>
      </c>
      <c r="AQ14" s="30" t="s">
        <v>58</v>
      </c>
      <c r="AV14" s="28">
        <f>ROUND(AW14+AX14,2)</f>
        <v>0</v>
      </c>
      <c r="AW14" s="28">
        <f>ROUND(G14*AO14,2)</f>
        <v>0</v>
      </c>
      <c r="AX14" s="28">
        <f>ROUND(G14*AP14,2)</f>
        <v>0</v>
      </c>
      <c r="AY14" s="30" t="s">
        <v>63</v>
      </c>
      <c r="AZ14" s="30" t="s">
        <v>64</v>
      </c>
      <c r="BA14" s="10" t="s">
        <v>65</v>
      </c>
      <c r="BC14" s="28">
        <f>AW14+AX14</f>
        <v>0</v>
      </c>
      <c r="BD14" s="28">
        <f>H14/(100-BE14)*100</f>
        <v>0</v>
      </c>
      <c r="BE14" s="28">
        <v>0</v>
      </c>
      <c r="BF14" s="28">
        <f>14</f>
        <v>14</v>
      </c>
      <c r="BH14" s="28">
        <f>G14*AO14</f>
        <v>0</v>
      </c>
      <c r="BI14" s="28">
        <f>G14*AP14</f>
        <v>0</v>
      </c>
      <c r="BJ14" s="28">
        <f>G14*H14</f>
        <v>0</v>
      </c>
      <c r="BK14" s="30" t="s">
        <v>66</v>
      </c>
      <c r="BL14" s="28">
        <v>11</v>
      </c>
      <c r="BW14" s="28">
        <v>21</v>
      </c>
      <c r="BX14" s="4" t="s">
        <v>60</v>
      </c>
    </row>
    <row r="15" spans="1:76" ht="13.5" customHeight="1" x14ac:dyDescent="0.25">
      <c r="A15" s="31"/>
      <c r="C15" s="32" t="s">
        <v>67</v>
      </c>
      <c r="D15" s="92" t="s">
        <v>68</v>
      </c>
      <c r="E15" s="93"/>
      <c r="F15" s="93"/>
      <c r="G15" s="93"/>
      <c r="H15" s="93"/>
      <c r="I15" s="93"/>
      <c r="J15" s="93"/>
      <c r="K15" s="93"/>
      <c r="L15" s="94"/>
    </row>
    <row r="16" spans="1:76" x14ac:dyDescent="0.25">
      <c r="A16" s="2" t="s">
        <v>69</v>
      </c>
      <c r="B16" s="3" t="s">
        <v>54</v>
      </c>
      <c r="C16" s="3" t="s">
        <v>70</v>
      </c>
      <c r="D16" s="72" t="s">
        <v>71</v>
      </c>
      <c r="E16" s="67"/>
      <c r="F16" s="3" t="s">
        <v>72</v>
      </c>
      <c r="G16" s="28">
        <v>245</v>
      </c>
      <c r="H16" s="61">
        <v>0</v>
      </c>
      <c r="I16" s="28">
        <f>ROUND(G16*AO16,2)</f>
        <v>0</v>
      </c>
      <c r="J16" s="28">
        <f>ROUND(G16*AP16,2)</f>
        <v>0</v>
      </c>
      <c r="K16" s="28">
        <f>ROUND(G16*H16,2)</f>
        <v>0</v>
      </c>
      <c r="L16" s="29" t="s">
        <v>62</v>
      </c>
      <c r="Z16" s="28">
        <f>ROUND(IF(AQ16="5",BJ16,0),2)</f>
        <v>0</v>
      </c>
      <c r="AB16" s="28">
        <f>ROUND(IF(AQ16="1",BH16,0),2)</f>
        <v>0</v>
      </c>
      <c r="AC16" s="28">
        <f>ROUND(IF(AQ16="1",BI16,0),2)</f>
        <v>0</v>
      </c>
      <c r="AD16" s="28">
        <f>ROUND(IF(AQ16="7",BH16,0),2)</f>
        <v>0</v>
      </c>
      <c r="AE16" s="28">
        <f>ROUND(IF(AQ16="7",BI16,0),2)</f>
        <v>0</v>
      </c>
      <c r="AF16" s="28">
        <f>ROUND(IF(AQ16="2",BH16,0),2)</f>
        <v>0</v>
      </c>
      <c r="AG16" s="28">
        <f>ROUND(IF(AQ16="2",BI16,0),2)</f>
        <v>0</v>
      </c>
      <c r="AH16" s="28">
        <f>ROUND(IF(AQ16="0",BJ16,0),2)</f>
        <v>0</v>
      </c>
      <c r="AI16" s="10" t="s">
        <v>54</v>
      </c>
      <c r="AJ16" s="28">
        <f>IF(AN16=0,K16,0)</f>
        <v>0</v>
      </c>
      <c r="AK16" s="28">
        <f>IF(AN16=12,K16,0)</f>
        <v>0</v>
      </c>
      <c r="AL16" s="28">
        <f>IF(AN16=21,K16,0)</f>
        <v>0</v>
      </c>
      <c r="AN16" s="28">
        <v>21</v>
      </c>
      <c r="AO16" s="28">
        <f>H16*0</f>
        <v>0</v>
      </c>
      <c r="AP16" s="28">
        <f>H16*(1-0)</f>
        <v>0</v>
      </c>
      <c r="AQ16" s="30" t="s">
        <v>58</v>
      </c>
      <c r="AV16" s="28">
        <f>ROUND(AW16+AX16,2)</f>
        <v>0</v>
      </c>
      <c r="AW16" s="28">
        <f>ROUND(G16*AO16,2)</f>
        <v>0</v>
      </c>
      <c r="AX16" s="28">
        <f>ROUND(G16*AP16,2)</f>
        <v>0</v>
      </c>
      <c r="AY16" s="30" t="s">
        <v>63</v>
      </c>
      <c r="AZ16" s="30" t="s">
        <v>64</v>
      </c>
      <c r="BA16" s="10" t="s">
        <v>65</v>
      </c>
      <c r="BC16" s="28">
        <f>AW16+AX16</f>
        <v>0</v>
      </c>
      <c r="BD16" s="28">
        <f>H16/(100-BE16)*100</f>
        <v>0</v>
      </c>
      <c r="BE16" s="28">
        <v>0</v>
      </c>
      <c r="BF16" s="28">
        <f>16</f>
        <v>16</v>
      </c>
      <c r="BH16" s="28">
        <f>G16*AO16</f>
        <v>0</v>
      </c>
      <c r="BI16" s="28">
        <f>G16*AP16</f>
        <v>0</v>
      </c>
      <c r="BJ16" s="28">
        <f>G16*H16</f>
        <v>0</v>
      </c>
      <c r="BK16" s="30" t="s">
        <v>66</v>
      </c>
      <c r="BL16" s="28">
        <v>11</v>
      </c>
      <c r="BW16" s="28">
        <v>21</v>
      </c>
      <c r="BX16" s="4" t="s">
        <v>71</v>
      </c>
    </row>
    <row r="17" spans="1:76" ht="13.5" customHeight="1" x14ac:dyDescent="0.25">
      <c r="A17" s="31"/>
      <c r="C17" s="32" t="s">
        <v>67</v>
      </c>
      <c r="D17" s="92" t="s">
        <v>73</v>
      </c>
      <c r="E17" s="93"/>
      <c r="F17" s="93"/>
      <c r="G17" s="93"/>
      <c r="H17" s="93"/>
      <c r="I17" s="93"/>
      <c r="J17" s="93"/>
      <c r="K17" s="93"/>
      <c r="L17" s="94"/>
    </row>
    <row r="18" spans="1:76" x14ac:dyDescent="0.25">
      <c r="A18" s="2" t="s">
        <v>74</v>
      </c>
      <c r="B18" s="3" t="s">
        <v>54</v>
      </c>
      <c r="C18" s="3" t="s">
        <v>75</v>
      </c>
      <c r="D18" s="72" t="s">
        <v>76</v>
      </c>
      <c r="E18" s="67"/>
      <c r="F18" s="3" t="s">
        <v>72</v>
      </c>
      <c r="G18" s="28">
        <v>124</v>
      </c>
      <c r="H18" s="61">
        <v>0</v>
      </c>
      <c r="I18" s="28">
        <f>ROUND(G18*AO18,2)</f>
        <v>0</v>
      </c>
      <c r="J18" s="28">
        <f>ROUND(G18*AP18,2)</f>
        <v>0</v>
      </c>
      <c r="K18" s="28">
        <f>ROUND(G18*H18,2)</f>
        <v>0</v>
      </c>
      <c r="L18" s="29" t="s">
        <v>62</v>
      </c>
      <c r="Z18" s="28">
        <f>ROUND(IF(AQ18="5",BJ18,0),2)</f>
        <v>0</v>
      </c>
      <c r="AB18" s="28">
        <f>ROUND(IF(AQ18="1",BH18,0),2)</f>
        <v>0</v>
      </c>
      <c r="AC18" s="28">
        <f>ROUND(IF(AQ18="1",BI18,0),2)</f>
        <v>0</v>
      </c>
      <c r="AD18" s="28">
        <f>ROUND(IF(AQ18="7",BH18,0),2)</f>
        <v>0</v>
      </c>
      <c r="AE18" s="28">
        <f>ROUND(IF(AQ18="7",BI18,0),2)</f>
        <v>0</v>
      </c>
      <c r="AF18" s="28">
        <f>ROUND(IF(AQ18="2",BH18,0),2)</f>
        <v>0</v>
      </c>
      <c r="AG18" s="28">
        <f>ROUND(IF(AQ18="2",BI18,0),2)</f>
        <v>0</v>
      </c>
      <c r="AH18" s="28">
        <f>ROUND(IF(AQ18="0",BJ18,0),2)</f>
        <v>0</v>
      </c>
      <c r="AI18" s="10" t="s">
        <v>54</v>
      </c>
      <c r="AJ18" s="28">
        <f>IF(AN18=0,K18,0)</f>
        <v>0</v>
      </c>
      <c r="AK18" s="28">
        <f>IF(AN18=12,K18,0)</f>
        <v>0</v>
      </c>
      <c r="AL18" s="28">
        <f>IF(AN18=21,K18,0)</f>
        <v>0</v>
      </c>
      <c r="AN18" s="28">
        <v>21</v>
      </c>
      <c r="AO18" s="28">
        <f>H18*0</f>
        <v>0</v>
      </c>
      <c r="AP18" s="28">
        <f>H18*(1-0)</f>
        <v>0</v>
      </c>
      <c r="AQ18" s="30" t="s">
        <v>58</v>
      </c>
      <c r="AV18" s="28">
        <f>ROUND(AW18+AX18,2)</f>
        <v>0</v>
      </c>
      <c r="AW18" s="28">
        <f>ROUND(G18*AO18,2)</f>
        <v>0</v>
      </c>
      <c r="AX18" s="28">
        <f>ROUND(G18*AP18,2)</f>
        <v>0</v>
      </c>
      <c r="AY18" s="30" t="s">
        <v>63</v>
      </c>
      <c r="AZ18" s="30" t="s">
        <v>64</v>
      </c>
      <c r="BA18" s="10" t="s">
        <v>65</v>
      </c>
      <c r="BC18" s="28">
        <f>AW18+AX18</f>
        <v>0</v>
      </c>
      <c r="BD18" s="28">
        <f>H18/(100-BE18)*100</f>
        <v>0</v>
      </c>
      <c r="BE18" s="28">
        <v>0</v>
      </c>
      <c r="BF18" s="28">
        <f>18</f>
        <v>18</v>
      </c>
      <c r="BH18" s="28">
        <f>G18*AO18</f>
        <v>0</v>
      </c>
      <c r="BI18" s="28">
        <f>G18*AP18</f>
        <v>0</v>
      </c>
      <c r="BJ18" s="28">
        <f>G18*H18</f>
        <v>0</v>
      </c>
      <c r="BK18" s="30" t="s">
        <v>66</v>
      </c>
      <c r="BL18" s="28">
        <v>11</v>
      </c>
      <c r="BW18" s="28">
        <v>21</v>
      </c>
      <c r="BX18" s="4" t="s">
        <v>76</v>
      </c>
    </row>
    <row r="19" spans="1:76" ht="13.5" customHeight="1" x14ac:dyDescent="0.25">
      <c r="A19" s="31"/>
      <c r="C19" s="32" t="s">
        <v>67</v>
      </c>
      <c r="D19" s="92" t="s">
        <v>73</v>
      </c>
      <c r="E19" s="93"/>
      <c r="F19" s="93"/>
      <c r="G19" s="93"/>
      <c r="H19" s="93"/>
      <c r="I19" s="93"/>
      <c r="J19" s="93"/>
      <c r="K19" s="93"/>
      <c r="L19" s="94"/>
    </row>
    <row r="20" spans="1:76" x14ac:dyDescent="0.25">
      <c r="A20" s="2" t="s">
        <v>77</v>
      </c>
      <c r="B20" s="3" t="s">
        <v>54</v>
      </c>
      <c r="C20" s="3" t="s">
        <v>78</v>
      </c>
      <c r="D20" s="72" t="s">
        <v>79</v>
      </c>
      <c r="E20" s="67"/>
      <c r="F20" s="3" t="s">
        <v>61</v>
      </c>
      <c r="G20" s="28">
        <v>190</v>
      </c>
      <c r="H20" s="61">
        <v>0</v>
      </c>
      <c r="I20" s="28">
        <f>ROUND(G20*AO20,2)</f>
        <v>0</v>
      </c>
      <c r="J20" s="28">
        <f>ROUND(G20*AP20,2)</f>
        <v>0</v>
      </c>
      <c r="K20" s="28">
        <f>ROUND(G20*H20,2)</f>
        <v>0</v>
      </c>
      <c r="L20" s="29" t="s">
        <v>62</v>
      </c>
      <c r="Z20" s="28">
        <f>ROUND(IF(AQ20="5",BJ20,0),2)</f>
        <v>0</v>
      </c>
      <c r="AB20" s="28">
        <f>ROUND(IF(AQ20="1",BH20,0),2)</f>
        <v>0</v>
      </c>
      <c r="AC20" s="28">
        <f>ROUND(IF(AQ20="1",BI20,0),2)</f>
        <v>0</v>
      </c>
      <c r="AD20" s="28">
        <f>ROUND(IF(AQ20="7",BH20,0),2)</f>
        <v>0</v>
      </c>
      <c r="AE20" s="28">
        <f>ROUND(IF(AQ20="7",BI20,0),2)</f>
        <v>0</v>
      </c>
      <c r="AF20" s="28">
        <f>ROUND(IF(AQ20="2",BH20,0),2)</f>
        <v>0</v>
      </c>
      <c r="AG20" s="28">
        <f>ROUND(IF(AQ20="2",BI20,0),2)</f>
        <v>0</v>
      </c>
      <c r="AH20" s="28">
        <f>ROUND(IF(AQ20="0",BJ20,0),2)</f>
        <v>0</v>
      </c>
      <c r="AI20" s="10" t="s">
        <v>54</v>
      </c>
      <c r="AJ20" s="28">
        <f>IF(AN20=0,K20,0)</f>
        <v>0</v>
      </c>
      <c r="AK20" s="28">
        <f>IF(AN20=12,K20,0)</f>
        <v>0</v>
      </c>
      <c r="AL20" s="28">
        <f>IF(AN20=21,K20,0)</f>
        <v>0</v>
      </c>
      <c r="AN20" s="28">
        <v>21</v>
      </c>
      <c r="AO20" s="28">
        <f>H20*0</f>
        <v>0</v>
      </c>
      <c r="AP20" s="28">
        <f>H20*(1-0)</f>
        <v>0</v>
      </c>
      <c r="AQ20" s="30" t="s">
        <v>58</v>
      </c>
      <c r="AV20" s="28">
        <f>ROUND(AW20+AX20,2)</f>
        <v>0</v>
      </c>
      <c r="AW20" s="28">
        <f>ROUND(G20*AO20,2)</f>
        <v>0</v>
      </c>
      <c r="AX20" s="28">
        <f>ROUND(G20*AP20,2)</f>
        <v>0</v>
      </c>
      <c r="AY20" s="30" t="s">
        <v>63</v>
      </c>
      <c r="AZ20" s="30" t="s">
        <v>64</v>
      </c>
      <c r="BA20" s="10" t="s">
        <v>65</v>
      </c>
      <c r="BC20" s="28">
        <f>AW20+AX20</f>
        <v>0</v>
      </c>
      <c r="BD20" s="28">
        <f>H20/(100-BE20)*100</f>
        <v>0</v>
      </c>
      <c r="BE20" s="28">
        <v>0</v>
      </c>
      <c r="BF20" s="28">
        <f>20</f>
        <v>20</v>
      </c>
      <c r="BH20" s="28">
        <f>G20*AO20</f>
        <v>0</v>
      </c>
      <c r="BI20" s="28">
        <f>G20*AP20</f>
        <v>0</v>
      </c>
      <c r="BJ20" s="28">
        <f>G20*H20</f>
        <v>0</v>
      </c>
      <c r="BK20" s="30" t="s">
        <v>66</v>
      </c>
      <c r="BL20" s="28">
        <v>11</v>
      </c>
      <c r="BW20" s="28">
        <v>21</v>
      </c>
      <c r="BX20" s="4" t="s">
        <v>79</v>
      </c>
    </row>
    <row r="21" spans="1:76" x14ac:dyDescent="0.25">
      <c r="A21" s="2" t="s">
        <v>80</v>
      </c>
      <c r="B21" s="3" t="s">
        <v>54</v>
      </c>
      <c r="C21" s="3" t="s">
        <v>81</v>
      </c>
      <c r="D21" s="72" t="s">
        <v>82</v>
      </c>
      <c r="E21" s="67"/>
      <c r="F21" s="3" t="s">
        <v>61</v>
      </c>
      <c r="G21" s="28">
        <v>185</v>
      </c>
      <c r="H21" s="61">
        <v>0</v>
      </c>
      <c r="I21" s="28">
        <f>ROUND(G21*AO21,2)</f>
        <v>0</v>
      </c>
      <c r="J21" s="28">
        <f>ROUND(G21*AP21,2)</f>
        <v>0</v>
      </c>
      <c r="K21" s="28">
        <f>ROUND(G21*H21,2)</f>
        <v>0</v>
      </c>
      <c r="L21" s="29" t="s">
        <v>62</v>
      </c>
      <c r="Z21" s="28">
        <f>ROUND(IF(AQ21="5",BJ21,0),2)</f>
        <v>0</v>
      </c>
      <c r="AB21" s="28">
        <f>ROUND(IF(AQ21="1",BH21,0),2)</f>
        <v>0</v>
      </c>
      <c r="AC21" s="28">
        <f>ROUND(IF(AQ21="1",BI21,0),2)</f>
        <v>0</v>
      </c>
      <c r="AD21" s="28">
        <f>ROUND(IF(AQ21="7",BH21,0),2)</f>
        <v>0</v>
      </c>
      <c r="AE21" s="28">
        <f>ROUND(IF(AQ21="7",BI21,0),2)</f>
        <v>0</v>
      </c>
      <c r="AF21" s="28">
        <f>ROUND(IF(AQ21="2",BH21,0),2)</f>
        <v>0</v>
      </c>
      <c r="AG21" s="28">
        <f>ROUND(IF(AQ21="2",BI21,0),2)</f>
        <v>0</v>
      </c>
      <c r="AH21" s="28">
        <f>ROUND(IF(AQ21="0",BJ21,0),2)</f>
        <v>0</v>
      </c>
      <c r="AI21" s="10" t="s">
        <v>54</v>
      </c>
      <c r="AJ21" s="28">
        <f>IF(AN21=0,K21,0)</f>
        <v>0</v>
      </c>
      <c r="AK21" s="28">
        <f>IF(AN21=12,K21,0)</f>
        <v>0</v>
      </c>
      <c r="AL21" s="28">
        <f>IF(AN21=21,K21,0)</f>
        <v>0</v>
      </c>
      <c r="AN21" s="28">
        <v>21</v>
      </c>
      <c r="AO21" s="28">
        <f>H21*0</f>
        <v>0</v>
      </c>
      <c r="AP21" s="28">
        <f>H21*(1-0)</f>
        <v>0</v>
      </c>
      <c r="AQ21" s="30" t="s">
        <v>58</v>
      </c>
      <c r="AV21" s="28">
        <f>ROUND(AW21+AX21,2)</f>
        <v>0</v>
      </c>
      <c r="AW21" s="28">
        <f>ROUND(G21*AO21,2)</f>
        <v>0</v>
      </c>
      <c r="AX21" s="28">
        <f>ROUND(G21*AP21,2)</f>
        <v>0</v>
      </c>
      <c r="AY21" s="30" t="s">
        <v>63</v>
      </c>
      <c r="AZ21" s="30" t="s">
        <v>64</v>
      </c>
      <c r="BA21" s="10" t="s">
        <v>65</v>
      </c>
      <c r="BC21" s="28">
        <f>AW21+AX21</f>
        <v>0</v>
      </c>
      <c r="BD21" s="28">
        <f>H21/(100-BE21)*100</f>
        <v>0</v>
      </c>
      <c r="BE21" s="28">
        <v>0</v>
      </c>
      <c r="BF21" s="28">
        <f>21</f>
        <v>21</v>
      </c>
      <c r="BH21" s="28">
        <f>G21*AO21</f>
        <v>0</v>
      </c>
      <c r="BI21" s="28">
        <f>G21*AP21</f>
        <v>0</v>
      </c>
      <c r="BJ21" s="28">
        <f>G21*H21</f>
        <v>0</v>
      </c>
      <c r="BK21" s="30" t="s">
        <v>66</v>
      </c>
      <c r="BL21" s="28">
        <v>11</v>
      </c>
      <c r="BW21" s="28">
        <v>21</v>
      </c>
      <c r="BX21" s="4" t="s">
        <v>82</v>
      </c>
    </row>
    <row r="22" spans="1:76" x14ac:dyDescent="0.25">
      <c r="A22" s="2" t="s">
        <v>83</v>
      </c>
      <c r="B22" s="3" t="s">
        <v>54</v>
      </c>
      <c r="C22" s="3" t="s">
        <v>84</v>
      </c>
      <c r="D22" s="72" t="s">
        <v>85</v>
      </c>
      <c r="E22" s="67"/>
      <c r="F22" s="3" t="s">
        <v>72</v>
      </c>
      <c r="G22" s="28">
        <v>17</v>
      </c>
      <c r="H22" s="61">
        <v>0</v>
      </c>
      <c r="I22" s="28">
        <f>ROUND(G22*AO22,2)</f>
        <v>0</v>
      </c>
      <c r="J22" s="28">
        <f>ROUND(G22*AP22,2)</f>
        <v>0</v>
      </c>
      <c r="K22" s="28">
        <f>ROUND(G22*H22,2)</f>
        <v>0</v>
      </c>
      <c r="L22" s="29" t="s">
        <v>62</v>
      </c>
      <c r="Z22" s="28">
        <f>ROUND(IF(AQ22="5",BJ22,0),2)</f>
        <v>0</v>
      </c>
      <c r="AB22" s="28">
        <f>ROUND(IF(AQ22="1",BH22,0),2)</f>
        <v>0</v>
      </c>
      <c r="AC22" s="28">
        <f>ROUND(IF(AQ22="1",BI22,0),2)</f>
        <v>0</v>
      </c>
      <c r="AD22" s="28">
        <f>ROUND(IF(AQ22="7",BH22,0),2)</f>
        <v>0</v>
      </c>
      <c r="AE22" s="28">
        <f>ROUND(IF(AQ22="7",BI22,0),2)</f>
        <v>0</v>
      </c>
      <c r="AF22" s="28">
        <f>ROUND(IF(AQ22="2",BH22,0),2)</f>
        <v>0</v>
      </c>
      <c r="AG22" s="28">
        <f>ROUND(IF(AQ22="2",BI22,0),2)</f>
        <v>0</v>
      </c>
      <c r="AH22" s="28">
        <f>ROUND(IF(AQ22="0",BJ22,0),2)</f>
        <v>0</v>
      </c>
      <c r="AI22" s="10" t="s">
        <v>54</v>
      </c>
      <c r="AJ22" s="28">
        <f>IF(AN22=0,K22,0)</f>
        <v>0</v>
      </c>
      <c r="AK22" s="28">
        <f>IF(AN22=12,K22,0)</f>
        <v>0</v>
      </c>
      <c r="AL22" s="28">
        <f>IF(AN22=21,K22,0)</f>
        <v>0</v>
      </c>
      <c r="AN22" s="28">
        <v>21</v>
      </c>
      <c r="AO22" s="28">
        <f>H22*0.178840446</f>
        <v>0</v>
      </c>
      <c r="AP22" s="28">
        <f>H22*(1-0.178840446)</f>
        <v>0</v>
      </c>
      <c r="AQ22" s="30" t="s">
        <v>58</v>
      </c>
      <c r="AV22" s="28">
        <f>ROUND(AW22+AX22,2)</f>
        <v>0</v>
      </c>
      <c r="AW22" s="28">
        <f>ROUND(G22*AO22,2)</f>
        <v>0</v>
      </c>
      <c r="AX22" s="28">
        <f>ROUND(G22*AP22,2)</f>
        <v>0</v>
      </c>
      <c r="AY22" s="30" t="s">
        <v>63</v>
      </c>
      <c r="AZ22" s="30" t="s">
        <v>64</v>
      </c>
      <c r="BA22" s="10" t="s">
        <v>65</v>
      </c>
      <c r="BC22" s="28">
        <f>AW22+AX22</f>
        <v>0</v>
      </c>
      <c r="BD22" s="28">
        <f>H22/(100-BE22)*100</f>
        <v>0</v>
      </c>
      <c r="BE22" s="28">
        <v>0</v>
      </c>
      <c r="BF22" s="28">
        <f>22</f>
        <v>22</v>
      </c>
      <c r="BH22" s="28">
        <f>G22*AO22</f>
        <v>0</v>
      </c>
      <c r="BI22" s="28">
        <f>G22*AP22</f>
        <v>0</v>
      </c>
      <c r="BJ22" s="28">
        <f>G22*H22</f>
        <v>0</v>
      </c>
      <c r="BK22" s="30" t="s">
        <v>66</v>
      </c>
      <c r="BL22" s="28">
        <v>11</v>
      </c>
      <c r="BW22" s="28">
        <v>21</v>
      </c>
      <c r="BX22" s="4" t="s">
        <v>85</v>
      </c>
    </row>
    <row r="23" spans="1:76" x14ac:dyDescent="0.25">
      <c r="A23" s="24" t="s">
        <v>53</v>
      </c>
      <c r="B23" s="25" t="s">
        <v>54</v>
      </c>
      <c r="C23" s="25" t="s">
        <v>86</v>
      </c>
      <c r="D23" s="83" t="s">
        <v>87</v>
      </c>
      <c r="E23" s="84"/>
      <c r="F23" s="26" t="s">
        <v>18</v>
      </c>
      <c r="G23" s="26" t="s">
        <v>18</v>
      </c>
      <c r="H23" s="26" t="s">
        <v>18</v>
      </c>
      <c r="I23" s="1">
        <f>SUM(I24:I26)</f>
        <v>0</v>
      </c>
      <c r="J23" s="1">
        <f>SUM(J24:J26)</f>
        <v>0</v>
      </c>
      <c r="K23" s="1">
        <f>SUM(K24:K26)</f>
        <v>0</v>
      </c>
      <c r="L23" s="27" t="s">
        <v>53</v>
      </c>
      <c r="AI23" s="10" t="s">
        <v>54</v>
      </c>
      <c r="AS23" s="1">
        <f>SUM(AJ24:AJ26)</f>
        <v>0</v>
      </c>
      <c r="AT23" s="1">
        <f>SUM(AK24:AK26)</f>
        <v>0</v>
      </c>
      <c r="AU23" s="1">
        <f>SUM(AL24:AL26)</f>
        <v>0</v>
      </c>
    </row>
    <row r="24" spans="1:76" x14ac:dyDescent="0.25">
      <c r="A24" s="2" t="s">
        <v>88</v>
      </c>
      <c r="B24" s="3" t="s">
        <v>54</v>
      </c>
      <c r="C24" s="3" t="s">
        <v>89</v>
      </c>
      <c r="D24" s="72" t="s">
        <v>90</v>
      </c>
      <c r="E24" s="67"/>
      <c r="F24" s="3" t="s">
        <v>91</v>
      </c>
      <c r="G24" s="28">
        <v>145</v>
      </c>
      <c r="H24" s="61">
        <v>0</v>
      </c>
      <c r="I24" s="28">
        <f>ROUND(G24*AO24,2)</f>
        <v>0</v>
      </c>
      <c r="J24" s="28">
        <f>ROUND(G24*AP24,2)</f>
        <v>0</v>
      </c>
      <c r="K24" s="28">
        <f>ROUND(G24*H24,2)</f>
        <v>0</v>
      </c>
      <c r="L24" s="29" t="s">
        <v>62</v>
      </c>
      <c r="Z24" s="28">
        <f>ROUND(IF(AQ24="5",BJ24,0),2)</f>
        <v>0</v>
      </c>
      <c r="AB24" s="28">
        <f>ROUND(IF(AQ24="1",BH24,0),2)</f>
        <v>0</v>
      </c>
      <c r="AC24" s="28">
        <f>ROUND(IF(AQ24="1",BI24,0),2)</f>
        <v>0</v>
      </c>
      <c r="AD24" s="28">
        <f>ROUND(IF(AQ24="7",BH24,0),2)</f>
        <v>0</v>
      </c>
      <c r="AE24" s="28">
        <f>ROUND(IF(AQ24="7",BI24,0),2)</f>
        <v>0</v>
      </c>
      <c r="AF24" s="28">
        <f>ROUND(IF(AQ24="2",BH24,0),2)</f>
        <v>0</v>
      </c>
      <c r="AG24" s="28">
        <f>ROUND(IF(AQ24="2",BI24,0),2)</f>
        <v>0</v>
      </c>
      <c r="AH24" s="28">
        <f>ROUND(IF(AQ24="0",BJ24,0),2)</f>
        <v>0</v>
      </c>
      <c r="AI24" s="10" t="s">
        <v>54</v>
      </c>
      <c r="AJ24" s="28">
        <f>IF(AN24=0,K24,0)</f>
        <v>0</v>
      </c>
      <c r="AK24" s="28">
        <f>IF(AN24=12,K24,0)</f>
        <v>0</v>
      </c>
      <c r="AL24" s="28">
        <f>IF(AN24=21,K24,0)</f>
        <v>0</v>
      </c>
      <c r="AN24" s="28">
        <v>21</v>
      </c>
      <c r="AO24" s="28">
        <f>H24*0</f>
        <v>0</v>
      </c>
      <c r="AP24" s="28">
        <f>H24*(1-0)</f>
        <v>0</v>
      </c>
      <c r="AQ24" s="30" t="s">
        <v>58</v>
      </c>
      <c r="AV24" s="28">
        <f>ROUND(AW24+AX24,2)</f>
        <v>0</v>
      </c>
      <c r="AW24" s="28">
        <f>ROUND(G24*AO24,2)</f>
        <v>0</v>
      </c>
      <c r="AX24" s="28">
        <f>ROUND(G24*AP24,2)</f>
        <v>0</v>
      </c>
      <c r="AY24" s="30" t="s">
        <v>92</v>
      </c>
      <c r="AZ24" s="30" t="s">
        <v>64</v>
      </c>
      <c r="BA24" s="10" t="s">
        <v>65</v>
      </c>
      <c r="BC24" s="28">
        <f>AW24+AX24</f>
        <v>0</v>
      </c>
      <c r="BD24" s="28">
        <f>H24/(100-BE24)*100</f>
        <v>0</v>
      </c>
      <c r="BE24" s="28">
        <v>0</v>
      </c>
      <c r="BF24" s="28">
        <f>24</f>
        <v>24</v>
      </c>
      <c r="BH24" s="28">
        <f>G24*AO24</f>
        <v>0</v>
      </c>
      <c r="BI24" s="28">
        <f>G24*AP24</f>
        <v>0</v>
      </c>
      <c r="BJ24" s="28">
        <f>G24*H24</f>
        <v>0</v>
      </c>
      <c r="BK24" s="30" t="s">
        <v>66</v>
      </c>
      <c r="BL24" s="28">
        <v>12</v>
      </c>
      <c r="BW24" s="28">
        <v>21</v>
      </c>
      <c r="BX24" s="4" t="s">
        <v>90</v>
      </c>
    </row>
    <row r="25" spans="1:76" ht="13.5" customHeight="1" x14ac:dyDescent="0.25">
      <c r="A25" s="31"/>
      <c r="C25" s="32" t="s">
        <v>67</v>
      </c>
      <c r="D25" s="92" t="s">
        <v>93</v>
      </c>
      <c r="E25" s="93"/>
      <c r="F25" s="93"/>
      <c r="G25" s="93"/>
      <c r="H25" s="93"/>
      <c r="I25" s="93"/>
      <c r="J25" s="93"/>
      <c r="K25" s="93"/>
      <c r="L25" s="94"/>
    </row>
    <row r="26" spans="1:76" x14ac:dyDescent="0.25">
      <c r="A26" s="2" t="s">
        <v>94</v>
      </c>
      <c r="B26" s="3" t="s">
        <v>54</v>
      </c>
      <c r="C26" s="3" t="s">
        <v>95</v>
      </c>
      <c r="D26" s="72" t="s">
        <v>96</v>
      </c>
      <c r="E26" s="67"/>
      <c r="F26" s="3" t="s">
        <v>91</v>
      </c>
      <c r="G26" s="28">
        <v>64</v>
      </c>
      <c r="H26" s="61">
        <v>0</v>
      </c>
      <c r="I26" s="28">
        <f>ROUND(G26*AO26,2)</f>
        <v>0</v>
      </c>
      <c r="J26" s="28">
        <f>ROUND(G26*AP26,2)</f>
        <v>0</v>
      </c>
      <c r="K26" s="28">
        <f>ROUND(G26*H26,2)</f>
        <v>0</v>
      </c>
      <c r="L26" s="29" t="s">
        <v>62</v>
      </c>
      <c r="Z26" s="28">
        <f>ROUND(IF(AQ26="5",BJ26,0),2)</f>
        <v>0</v>
      </c>
      <c r="AB26" s="28">
        <f>ROUND(IF(AQ26="1",BH26,0),2)</f>
        <v>0</v>
      </c>
      <c r="AC26" s="28">
        <f>ROUND(IF(AQ26="1",BI26,0),2)</f>
        <v>0</v>
      </c>
      <c r="AD26" s="28">
        <f>ROUND(IF(AQ26="7",BH26,0),2)</f>
        <v>0</v>
      </c>
      <c r="AE26" s="28">
        <f>ROUND(IF(AQ26="7",BI26,0),2)</f>
        <v>0</v>
      </c>
      <c r="AF26" s="28">
        <f>ROUND(IF(AQ26="2",BH26,0),2)</f>
        <v>0</v>
      </c>
      <c r="AG26" s="28">
        <f>ROUND(IF(AQ26="2",BI26,0),2)</f>
        <v>0</v>
      </c>
      <c r="AH26" s="28">
        <f>ROUND(IF(AQ26="0",BJ26,0),2)</f>
        <v>0</v>
      </c>
      <c r="AI26" s="10" t="s">
        <v>54</v>
      </c>
      <c r="AJ26" s="28">
        <f>IF(AN26=0,K26,0)</f>
        <v>0</v>
      </c>
      <c r="AK26" s="28">
        <f>IF(AN26=12,K26,0)</f>
        <v>0</v>
      </c>
      <c r="AL26" s="28">
        <f>IF(AN26=21,K26,0)</f>
        <v>0</v>
      </c>
      <c r="AN26" s="28">
        <v>21</v>
      </c>
      <c r="AO26" s="28">
        <f>H26*0</f>
        <v>0</v>
      </c>
      <c r="AP26" s="28">
        <f>H26*(1-0)</f>
        <v>0</v>
      </c>
      <c r="AQ26" s="30" t="s">
        <v>58</v>
      </c>
      <c r="AV26" s="28">
        <f>ROUND(AW26+AX26,2)</f>
        <v>0</v>
      </c>
      <c r="AW26" s="28">
        <f>ROUND(G26*AO26,2)</f>
        <v>0</v>
      </c>
      <c r="AX26" s="28">
        <f>ROUND(G26*AP26,2)</f>
        <v>0</v>
      </c>
      <c r="AY26" s="30" t="s">
        <v>92</v>
      </c>
      <c r="AZ26" s="30" t="s">
        <v>64</v>
      </c>
      <c r="BA26" s="10" t="s">
        <v>65</v>
      </c>
      <c r="BC26" s="28">
        <f>AW26+AX26</f>
        <v>0</v>
      </c>
      <c r="BD26" s="28">
        <f>H26/(100-BE26)*100</f>
        <v>0</v>
      </c>
      <c r="BE26" s="28">
        <v>0</v>
      </c>
      <c r="BF26" s="28">
        <f>26</f>
        <v>26</v>
      </c>
      <c r="BH26" s="28">
        <f>G26*AO26</f>
        <v>0</v>
      </c>
      <c r="BI26" s="28">
        <f>G26*AP26</f>
        <v>0</v>
      </c>
      <c r="BJ26" s="28">
        <f>G26*H26</f>
        <v>0</v>
      </c>
      <c r="BK26" s="30" t="s">
        <v>66</v>
      </c>
      <c r="BL26" s="28">
        <v>12</v>
      </c>
      <c r="BW26" s="28">
        <v>21</v>
      </c>
      <c r="BX26" s="4" t="s">
        <v>96</v>
      </c>
    </row>
    <row r="27" spans="1:76" ht="13.5" customHeight="1" x14ac:dyDescent="0.25">
      <c r="A27" s="31"/>
      <c r="C27" s="32" t="s">
        <v>67</v>
      </c>
      <c r="D27" s="92" t="s">
        <v>97</v>
      </c>
      <c r="E27" s="93"/>
      <c r="F27" s="93"/>
      <c r="G27" s="93"/>
      <c r="H27" s="93"/>
      <c r="I27" s="93"/>
      <c r="J27" s="93"/>
      <c r="K27" s="93"/>
      <c r="L27" s="94"/>
    </row>
    <row r="28" spans="1:76" x14ac:dyDescent="0.25">
      <c r="A28" s="24" t="s">
        <v>53</v>
      </c>
      <c r="B28" s="25" t="s">
        <v>54</v>
      </c>
      <c r="C28" s="25" t="s">
        <v>98</v>
      </c>
      <c r="D28" s="83" t="s">
        <v>99</v>
      </c>
      <c r="E28" s="84"/>
      <c r="F28" s="26" t="s">
        <v>18</v>
      </c>
      <c r="G28" s="26" t="s">
        <v>18</v>
      </c>
      <c r="H28" s="26" t="s">
        <v>18</v>
      </c>
      <c r="I28" s="1">
        <f>SUM(I29:I31)</f>
        <v>0</v>
      </c>
      <c r="J28" s="1">
        <f>SUM(J29:J31)</f>
        <v>0</v>
      </c>
      <c r="K28" s="1">
        <f>SUM(K29:K31)</f>
        <v>0</v>
      </c>
      <c r="L28" s="27" t="s">
        <v>53</v>
      </c>
      <c r="AI28" s="10" t="s">
        <v>54</v>
      </c>
      <c r="AS28" s="1">
        <f>SUM(AJ29:AJ31)</f>
        <v>0</v>
      </c>
      <c r="AT28" s="1">
        <f>SUM(AK29:AK31)</f>
        <v>0</v>
      </c>
      <c r="AU28" s="1">
        <f>SUM(AL29:AL31)</f>
        <v>0</v>
      </c>
    </row>
    <row r="29" spans="1:76" x14ac:dyDescent="0.25">
      <c r="A29" s="2" t="s">
        <v>100</v>
      </c>
      <c r="B29" s="3" t="s">
        <v>54</v>
      </c>
      <c r="C29" s="3" t="s">
        <v>101</v>
      </c>
      <c r="D29" s="72" t="s">
        <v>102</v>
      </c>
      <c r="E29" s="67"/>
      <c r="F29" s="3" t="s">
        <v>72</v>
      </c>
      <c r="G29" s="28">
        <v>85</v>
      </c>
      <c r="H29" s="61">
        <v>0</v>
      </c>
      <c r="I29" s="28">
        <f>ROUND(G29*AO29,2)</f>
        <v>0</v>
      </c>
      <c r="J29" s="28">
        <f>ROUND(G29*AP29,2)</f>
        <v>0</v>
      </c>
      <c r="K29" s="28">
        <f>ROUND(G29*H29,2)</f>
        <v>0</v>
      </c>
      <c r="L29" s="29" t="s">
        <v>62</v>
      </c>
      <c r="Z29" s="28">
        <f>ROUND(IF(AQ29="5",BJ29,0),2)</f>
        <v>0</v>
      </c>
      <c r="AB29" s="28">
        <f>ROUND(IF(AQ29="1",BH29,0),2)</f>
        <v>0</v>
      </c>
      <c r="AC29" s="28">
        <f>ROUND(IF(AQ29="1",BI29,0),2)</f>
        <v>0</v>
      </c>
      <c r="AD29" s="28">
        <f>ROUND(IF(AQ29="7",BH29,0),2)</f>
        <v>0</v>
      </c>
      <c r="AE29" s="28">
        <f>ROUND(IF(AQ29="7",BI29,0),2)</f>
        <v>0</v>
      </c>
      <c r="AF29" s="28">
        <f>ROUND(IF(AQ29="2",BH29,0),2)</f>
        <v>0</v>
      </c>
      <c r="AG29" s="28">
        <f>ROUND(IF(AQ29="2",BI29,0),2)</f>
        <v>0</v>
      </c>
      <c r="AH29" s="28">
        <f>ROUND(IF(AQ29="0",BJ29,0),2)</f>
        <v>0</v>
      </c>
      <c r="AI29" s="10" t="s">
        <v>54</v>
      </c>
      <c r="AJ29" s="28">
        <f>IF(AN29=0,K29,0)</f>
        <v>0</v>
      </c>
      <c r="AK29" s="28">
        <f>IF(AN29=12,K29,0)</f>
        <v>0</v>
      </c>
      <c r="AL29" s="28">
        <f>IF(AN29=21,K29,0)</f>
        <v>0</v>
      </c>
      <c r="AN29" s="28">
        <v>21</v>
      </c>
      <c r="AO29" s="28">
        <f>H29*0</f>
        <v>0</v>
      </c>
      <c r="AP29" s="28">
        <f>H29*(1-0)</f>
        <v>0</v>
      </c>
      <c r="AQ29" s="30" t="s">
        <v>58</v>
      </c>
      <c r="AV29" s="28">
        <f>ROUND(AW29+AX29,2)</f>
        <v>0</v>
      </c>
      <c r="AW29" s="28">
        <f>ROUND(G29*AO29,2)</f>
        <v>0</v>
      </c>
      <c r="AX29" s="28">
        <f>ROUND(G29*AP29,2)</f>
        <v>0</v>
      </c>
      <c r="AY29" s="30" t="s">
        <v>103</v>
      </c>
      <c r="AZ29" s="30" t="s">
        <v>64</v>
      </c>
      <c r="BA29" s="10" t="s">
        <v>65</v>
      </c>
      <c r="BC29" s="28">
        <f>AW29+AX29</f>
        <v>0</v>
      </c>
      <c r="BD29" s="28">
        <f>H29/(100-BE29)*100</f>
        <v>0</v>
      </c>
      <c r="BE29" s="28">
        <v>0</v>
      </c>
      <c r="BF29" s="28">
        <f>29</f>
        <v>29</v>
      </c>
      <c r="BH29" s="28">
        <f>G29*AO29</f>
        <v>0</v>
      </c>
      <c r="BI29" s="28">
        <f>G29*AP29</f>
        <v>0</v>
      </c>
      <c r="BJ29" s="28">
        <f>G29*H29</f>
        <v>0</v>
      </c>
      <c r="BK29" s="30" t="s">
        <v>66</v>
      </c>
      <c r="BL29" s="28">
        <v>13</v>
      </c>
      <c r="BW29" s="28">
        <v>21</v>
      </c>
      <c r="BX29" s="4" t="s">
        <v>102</v>
      </c>
    </row>
    <row r="30" spans="1:76" ht="13.5" customHeight="1" x14ac:dyDescent="0.25">
      <c r="A30" s="31"/>
      <c r="C30" s="32" t="s">
        <v>67</v>
      </c>
      <c r="D30" s="92" t="s">
        <v>104</v>
      </c>
      <c r="E30" s="93"/>
      <c r="F30" s="93"/>
      <c r="G30" s="93"/>
      <c r="H30" s="93"/>
      <c r="I30" s="93"/>
      <c r="J30" s="93"/>
      <c r="K30" s="93"/>
      <c r="L30" s="94"/>
    </row>
    <row r="31" spans="1:76" x14ac:dyDescent="0.25">
      <c r="A31" s="2" t="s">
        <v>105</v>
      </c>
      <c r="B31" s="3" t="s">
        <v>54</v>
      </c>
      <c r="C31" s="3" t="s">
        <v>106</v>
      </c>
      <c r="D31" s="72" t="s">
        <v>102</v>
      </c>
      <c r="E31" s="67"/>
      <c r="F31" s="3" t="s">
        <v>72</v>
      </c>
      <c r="G31" s="28">
        <v>17</v>
      </c>
      <c r="H31" s="61">
        <v>0</v>
      </c>
      <c r="I31" s="28">
        <f>ROUND(G31*AO31,2)</f>
        <v>0</v>
      </c>
      <c r="J31" s="28">
        <f>ROUND(G31*AP31,2)</f>
        <v>0</v>
      </c>
      <c r="K31" s="28">
        <f>ROUND(G31*H31,2)</f>
        <v>0</v>
      </c>
      <c r="L31" s="29" t="s">
        <v>62</v>
      </c>
      <c r="Z31" s="28">
        <f>ROUND(IF(AQ31="5",BJ31,0),2)</f>
        <v>0</v>
      </c>
      <c r="AB31" s="28">
        <f>ROUND(IF(AQ31="1",BH31,0),2)</f>
        <v>0</v>
      </c>
      <c r="AC31" s="28">
        <f>ROUND(IF(AQ31="1",BI31,0),2)</f>
        <v>0</v>
      </c>
      <c r="AD31" s="28">
        <f>ROUND(IF(AQ31="7",BH31,0),2)</f>
        <v>0</v>
      </c>
      <c r="AE31" s="28">
        <f>ROUND(IF(AQ31="7",BI31,0),2)</f>
        <v>0</v>
      </c>
      <c r="AF31" s="28">
        <f>ROUND(IF(AQ31="2",BH31,0),2)</f>
        <v>0</v>
      </c>
      <c r="AG31" s="28">
        <f>ROUND(IF(AQ31="2",BI31,0),2)</f>
        <v>0</v>
      </c>
      <c r="AH31" s="28">
        <f>ROUND(IF(AQ31="0",BJ31,0),2)</f>
        <v>0</v>
      </c>
      <c r="AI31" s="10" t="s">
        <v>54</v>
      </c>
      <c r="AJ31" s="28">
        <f>IF(AN31=0,K31,0)</f>
        <v>0</v>
      </c>
      <c r="AK31" s="28">
        <f>IF(AN31=12,K31,0)</f>
        <v>0</v>
      </c>
      <c r="AL31" s="28">
        <f>IF(AN31=21,K31,0)</f>
        <v>0</v>
      </c>
      <c r="AN31" s="28">
        <v>21</v>
      </c>
      <c r="AO31" s="28">
        <f>H31*0</f>
        <v>0</v>
      </c>
      <c r="AP31" s="28">
        <f>H31*(1-0)</f>
        <v>0</v>
      </c>
      <c r="AQ31" s="30" t="s">
        <v>58</v>
      </c>
      <c r="AV31" s="28">
        <f>ROUND(AW31+AX31,2)</f>
        <v>0</v>
      </c>
      <c r="AW31" s="28">
        <f>ROUND(G31*AO31,2)</f>
        <v>0</v>
      </c>
      <c r="AX31" s="28">
        <f>ROUND(G31*AP31,2)</f>
        <v>0</v>
      </c>
      <c r="AY31" s="30" t="s">
        <v>103</v>
      </c>
      <c r="AZ31" s="30" t="s">
        <v>64</v>
      </c>
      <c r="BA31" s="10" t="s">
        <v>65</v>
      </c>
      <c r="BC31" s="28">
        <f>AW31+AX31</f>
        <v>0</v>
      </c>
      <c r="BD31" s="28">
        <f>H31/(100-BE31)*100</f>
        <v>0</v>
      </c>
      <c r="BE31" s="28">
        <v>0</v>
      </c>
      <c r="BF31" s="28">
        <f>31</f>
        <v>31</v>
      </c>
      <c r="BH31" s="28">
        <f>G31*AO31</f>
        <v>0</v>
      </c>
      <c r="BI31" s="28">
        <f>G31*AP31</f>
        <v>0</v>
      </c>
      <c r="BJ31" s="28">
        <f>G31*H31</f>
        <v>0</v>
      </c>
      <c r="BK31" s="30" t="s">
        <v>66</v>
      </c>
      <c r="BL31" s="28">
        <v>13</v>
      </c>
      <c r="BW31" s="28">
        <v>21</v>
      </c>
      <c r="BX31" s="4" t="s">
        <v>102</v>
      </c>
    </row>
    <row r="32" spans="1:76" ht="13.5" customHeight="1" x14ac:dyDescent="0.25">
      <c r="A32" s="31"/>
      <c r="C32" s="32" t="s">
        <v>67</v>
      </c>
      <c r="D32" s="92" t="s">
        <v>107</v>
      </c>
      <c r="E32" s="93"/>
      <c r="F32" s="93"/>
      <c r="G32" s="93"/>
      <c r="H32" s="93"/>
      <c r="I32" s="93"/>
      <c r="J32" s="93"/>
      <c r="K32" s="93"/>
      <c r="L32" s="94"/>
    </row>
    <row r="33" spans="1:76" x14ac:dyDescent="0.25">
      <c r="A33" s="24" t="s">
        <v>53</v>
      </c>
      <c r="B33" s="25" t="s">
        <v>54</v>
      </c>
      <c r="C33" s="25" t="s">
        <v>108</v>
      </c>
      <c r="D33" s="83" t="s">
        <v>109</v>
      </c>
      <c r="E33" s="84"/>
      <c r="F33" s="26" t="s">
        <v>18</v>
      </c>
      <c r="G33" s="26" t="s">
        <v>18</v>
      </c>
      <c r="H33" s="26" t="s">
        <v>18</v>
      </c>
      <c r="I33" s="1">
        <f>SUM(I34:I34)</f>
        <v>0</v>
      </c>
      <c r="J33" s="1">
        <f>SUM(J34:J34)</f>
        <v>0</v>
      </c>
      <c r="K33" s="1">
        <f>SUM(K34:K34)</f>
        <v>0</v>
      </c>
      <c r="L33" s="27" t="s">
        <v>53</v>
      </c>
      <c r="AI33" s="10" t="s">
        <v>54</v>
      </c>
      <c r="AS33" s="1">
        <f>SUM(AJ34:AJ34)</f>
        <v>0</v>
      </c>
      <c r="AT33" s="1">
        <f>SUM(AK34:AK34)</f>
        <v>0</v>
      </c>
      <c r="AU33" s="1">
        <f>SUM(AL34:AL34)</f>
        <v>0</v>
      </c>
    </row>
    <row r="34" spans="1:76" x14ac:dyDescent="0.25">
      <c r="A34" s="2" t="s">
        <v>56</v>
      </c>
      <c r="B34" s="3" t="s">
        <v>54</v>
      </c>
      <c r="C34" s="3" t="s">
        <v>110</v>
      </c>
      <c r="D34" s="72" t="s">
        <v>111</v>
      </c>
      <c r="E34" s="67"/>
      <c r="F34" s="3" t="s">
        <v>61</v>
      </c>
      <c r="G34" s="28">
        <v>1455</v>
      </c>
      <c r="H34" s="61">
        <v>0</v>
      </c>
      <c r="I34" s="28">
        <f>ROUND(G34*AO34,2)</f>
        <v>0</v>
      </c>
      <c r="J34" s="28">
        <f>ROUND(G34*AP34,2)</f>
        <v>0</v>
      </c>
      <c r="K34" s="28">
        <f>ROUND(G34*H34,2)</f>
        <v>0</v>
      </c>
      <c r="L34" s="29" t="s">
        <v>62</v>
      </c>
      <c r="Z34" s="28">
        <f>ROUND(IF(AQ34="5",BJ34,0),2)</f>
        <v>0</v>
      </c>
      <c r="AB34" s="28">
        <f>ROUND(IF(AQ34="1",BH34,0),2)</f>
        <v>0</v>
      </c>
      <c r="AC34" s="28">
        <f>ROUND(IF(AQ34="1",BI34,0),2)</f>
        <v>0</v>
      </c>
      <c r="AD34" s="28">
        <f>ROUND(IF(AQ34="7",BH34,0),2)</f>
        <v>0</v>
      </c>
      <c r="AE34" s="28">
        <f>ROUND(IF(AQ34="7",BI34,0),2)</f>
        <v>0</v>
      </c>
      <c r="AF34" s="28">
        <f>ROUND(IF(AQ34="2",BH34,0),2)</f>
        <v>0</v>
      </c>
      <c r="AG34" s="28">
        <f>ROUND(IF(AQ34="2",BI34,0),2)</f>
        <v>0</v>
      </c>
      <c r="AH34" s="28">
        <f>ROUND(IF(AQ34="0",BJ34,0),2)</f>
        <v>0</v>
      </c>
      <c r="AI34" s="10" t="s">
        <v>54</v>
      </c>
      <c r="AJ34" s="28">
        <f>IF(AN34=0,K34,0)</f>
        <v>0</v>
      </c>
      <c r="AK34" s="28">
        <f>IF(AN34=12,K34,0)</f>
        <v>0</v>
      </c>
      <c r="AL34" s="28">
        <f>IF(AN34=21,K34,0)</f>
        <v>0</v>
      </c>
      <c r="AN34" s="28">
        <v>21</v>
      </c>
      <c r="AO34" s="28">
        <f>H34*0</f>
        <v>0</v>
      </c>
      <c r="AP34" s="28">
        <f>H34*(1-0)</f>
        <v>0</v>
      </c>
      <c r="AQ34" s="30" t="s">
        <v>58</v>
      </c>
      <c r="AV34" s="28">
        <f>ROUND(AW34+AX34,2)</f>
        <v>0</v>
      </c>
      <c r="AW34" s="28">
        <f>ROUND(G34*AO34,2)</f>
        <v>0</v>
      </c>
      <c r="AX34" s="28">
        <f>ROUND(G34*AP34,2)</f>
        <v>0</v>
      </c>
      <c r="AY34" s="30" t="s">
        <v>112</v>
      </c>
      <c r="AZ34" s="30" t="s">
        <v>64</v>
      </c>
      <c r="BA34" s="10" t="s">
        <v>65</v>
      </c>
      <c r="BC34" s="28">
        <f>AW34+AX34</f>
        <v>0</v>
      </c>
      <c r="BD34" s="28">
        <f>H34/(100-BE34)*100</f>
        <v>0</v>
      </c>
      <c r="BE34" s="28">
        <v>0</v>
      </c>
      <c r="BF34" s="28">
        <f>34</f>
        <v>34</v>
      </c>
      <c r="BH34" s="28">
        <f>G34*AO34</f>
        <v>0</v>
      </c>
      <c r="BI34" s="28">
        <f>G34*AP34</f>
        <v>0</v>
      </c>
      <c r="BJ34" s="28">
        <f>G34*H34</f>
        <v>0</v>
      </c>
      <c r="BK34" s="30" t="s">
        <v>66</v>
      </c>
      <c r="BL34" s="28">
        <v>18</v>
      </c>
      <c r="BW34" s="28">
        <v>21</v>
      </c>
      <c r="BX34" s="4" t="s">
        <v>111</v>
      </c>
    </row>
    <row r="35" spans="1:76" x14ac:dyDescent="0.25">
      <c r="A35" s="24" t="s">
        <v>53</v>
      </c>
      <c r="B35" s="25" t="s">
        <v>54</v>
      </c>
      <c r="C35" s="25" t="s">
        <v>113</v>
      </c>
      <c r="D35" s="83" t="s">
        <v>114</v>
      </c>
      <c r="E35" s="84"/>
      <c r="F35" s="26" t="s">
        <v>18</v>
      </c>
      <c r="G35" s="26" t="s">
        <v>18</v>
      </c>
      <c r="H35" s="26" t="s">
        <v>18</v>
      </c>
      <c r="I35" s="1">
        <f>SUM(I36:I36)</f>
        <v>0</v>
      </c>
      <c r="J35" s="1">
        <f>SUM(J36:J36)</f>
        <v>0</v>
      </c>
      <c r="K35" s="1">
        <f>SUM(K36:K36)</f>
        <v>0</v>
      </c>
      <c r="L35" s="27" t="s">
        <v>53</v>
      </c>
      <c r="AI35" s="10" t="s">
        <v>54</v>
      </c>
      <c r="AS35" s="1">
        <f>SUM(AJ36:AJ36)</f>
        <v>0</v>
      </c>
      <c r="AT35" s="1">
        <f>SUM(AK36:AK36)</f>
        <v>0</v>
      </c>
      <c r="AU35" s="1">
        <f>SUM(AL36:AL36)</f>
        <v>0</v>
      </c>
    </row>
    <row r="36" spans="1:76" x14ac:dyDescent="0.25">
      <c r="A36" s="2" t="s">
        <v>86</v>
      </c>
      <c r="B36" s="3" t="s">
        <v>54</v>
      </c>
      <c r="C36" s="3" t="s">
        <v>115</v>
      </c>
      <c r="D36" s="72" t="s">
        <v>116</v>
      </c>
      <c r="E36" s="67"/>
      <c r="F36" s="3" t="s">
        <v>72</v>
      </c>
      <c r="G36" s="28">
        <v>85</v>
      </c>
      <c r="H36" s="61">
        <v>0</v>
      </c>
      <c r="I36" s="28">
        <f>ROUND(G36*AO36,2)</f>
        <v>0</v>
      </c>
      <c r="J36" s="28">
        <f>ROUND(G36*AP36,2)</f>
        <v>0</v>
      </c>
      <c r="K36" s="28">
        <f>ROUND(G36*H36,2)</f>
        <v>0</v>
      </c>
      <c r="L36" s="29" t="s">
        <v>62</v>
      </c>
      <c r="Z36" s="28">
        <f>ROUND(IF(AQ36="5",BJ36,0),2)</f>
        <v>0</v>
      </c>
      <c r="AB36" s="28">
        <f>ROUND(IF(AQ36="1",BH36,0),2)</f>
        <v>0</v>
      </c>
      <c r="AC36" s="28">
        <f>ROUND(IF(AQ36="1",BI36,0),2)</f>
        <v>0</v>
      </c>
      <c r="AD36" s="28">
        <f>ROUND(IF(AQ36="7",BH36,0),2)</f>
        <v>0</v>
      </c>
      <c r="AE36" s="28">
        <f>ROUND(IF(AQ36="7",BI36,0),2)</f>
        <v>0</v>
      </c>
      <c r="AF36" s="28">
        <f>ROUND(IF(AQ36="2",BH36,0),2)</f>
        <v>0</v>
      </c>
      <c r="AG36" s="28">
        <f>ROUND(IF(AQ36="2",BI36,0),2)</f>
        <v>0</v>
      </c>
      <c r="AH36" s="28">
        <f>ROUND(IF(AQ36="0",BJ36,0),2)</f>
        <v>0</v>
      </c>
      <c r="AI36" s="10" t="s">
        <v>54</v>
      </c>
      <c r="AJ36" s="28">
        <f>IF(AN36=0,K36,0)</f>
        <v>0</v>
      </c>
      <c r="AK36" s="28">
        <f>IF(AN36=12,K36,0)</f>
        <v>0</v>
      </c>
      <c r="AL36" s="28">
        <f>IF(AN36=21,K36,0)</f>
        <v>0</v>
      </c>
      <c r="AN36" s="28">
        <v>21</v>
      </c>
      <c r="AO36" s="28">
        <f>H36*0.386483397</f>
        <v>0</v>
      </c>
      <c r="AP36" s="28">
        <f>H36*(1-0.386483397)</f>
        <v>0</v>
      </c>
      <c r="AQ36" s="30" t="s">
        <v>58</v>
      </c>
      <c r="AV36" s="28">
        <f>ROUND(AW36+AX36,2)</f>
        <v>0</v>
      </c>
      <c r="AW36" s="28">
        <f>ROUND(G36*AO36,2)</f>
        <v>0</v>
      </c>
      <c r="AX36" s="28">
        <f>ROUND(G36*AP36,2)</f>
        <v>0</v>
      </c>
      <c r="AY36" s="30" t="s">
        <v>117</v>
      </c>
      <c r="AZ36" s="30" t="s">
        <v>118</v>
      </c>
      <c r="BA36" s="10" t="s">
        <v>65</v>
      </c>
      <c r="BC36" s="28">
        <f>AW36+AX36</f>
        <v>0</v>
      </c>
      <c r="BD36" s="28">
        <f>H36/(100-BE36)*100</f>
        <v>0</v>
      </c>
      <c r="BE36" s="28">
        <v>0</v>
      </c>
      <c r="BF36" s="28">
        <f>36</f>
        <v>36</v>
      </c>
      <c r="BH36" s="28">
        <f>G36*AO36</f>
        <v>0</v>
      </c>
      <c r="BI36" s="28">
        <f>G36*AP36</f>
        <v>0</v>
      </c>
      <c r="BJ36" s="28">
        <f>G36*H36</f>
        <v>0</v>
      </c>
      <c r="BK36" s="30" t="s">
        <v>66</v>
      </c>
      <c r="BL36" s="28">
        <v>21</v>
      </c>
      <c r="BW36" s="28">
        <v>21</v>
      </c>
      <c r="BX36" s="4" t="s">
        <v>116</v>
      </c>
    </row>
    <row r="37" spans="1:76" x14ac:dyDescent="0.25">
      <c r="A37" s="24" t="s">
        <v>53</v>
      </c>
      <c r="B37" s="25" t="s">
        <v>54</v>
      </c>
      <c r="C37" s="25" t="s">
        <v>119</v>
      </c>
      <c r="D37" s="83" t="s">
        <v>120</v>
      </c>
      <c r="E37" s="84"/>
      <c r="F37" s="26" t="s">
        <v>18</v>
      </c>
      <c r="G37" s="26" t="s">
        <v>18</v>
      </c>
      <c r="H37" s="26" t="s">
        <v>18</v>
      </c>
      <c r="I37" s="1">
        <f>SUM(I38:I39)</f>
        <v>0</v>
      </c>
      <c r="J37" s="1">
        <f>SUM(J38:J39)</f>
        <v>0</v>
      </c>
      <c r="K37" s="1">
        <f>SUM(K38:K39)</f>
        <v>0</v>
      </c>
      <c r="L37" s="27" t="s">
        <v>53</v>
      </c>
      <c r="AI37" s="10" t="s">
        <v>54</v>
      </c>
      <c r="AS37" s="1">
        <f>SUM(AJ38:AJ39)</f>
        <v>0</v>
      </c>
      <c r="AT37" s="1">
        <f>SUM(AK38:AK39)</f>
        <v>0</v>
      </c>
      <c r="AU37" s="1">
        <f>SUM(AL38:AL39)</f>
        <v>0</v>
      </c>
    </row>
    <row r="38" spans="1:76" x14ac:dyDescent="0.25">
      <c r="A38" s="2" t="s">
        <v>98</v>
      </c>
      <c r="B38" s="3" t="s">
        <v>54</v>
      </c>
      <c r="C38" s="3" t="s">
        <v>121</v>
      </c>
      <c r="D38" s="72" t="s">
        <v>122</v>
      </c>
      <c r="E38" s="67"/>
      <c r="F38" s="3" t="s">
        <v>61</v>
      </c>
      <c r="G38" s="28">
        <v>127.5</v>
      </c>
      <c r="H38" s="61">
        <v>0</v>
      </c>
      <c r="I38" s="28">
        <f>ROUND(G38*AO38,2)</f>
        <v>0</v>
      </c>
      <c r="J38" s="28">
        <f>ROUND(G38*AP38,2)</f>
        <v>0</v>
      </c>
      <c r="K38" s="28">
        <f>ROUND(G38*H38,2)</f>
        <v>0</v>
      </c>
      <c r="L38" s="29" t="s">
        <v>62</v>
      </c>
      <c r="Z38" s="28">
        <f>ROUND(IF(AQ38="5",BJ38,0),2)</f>
        <v>0</v>
      </c>
      <c r="AB38" s="28">
        <f>ROUND(IF(AQ38="1",BH38,0),2)</f>
        <v>0</v>
      </c>
      <c r="AC38" s="28">
        <f>ROUND(IF(AQ38="1",BI38,0),2)</f>
        <v>0</v>
      </c>
      <c r="AD38" s="28">
        <f>ROUND(IF(AQ38="7",BH38,0),2)</f>
        <v>0</v>
      </c>
      <c r="AE38" s="28">
        <f>ROUND(IF(AQ38="7",BI38,0),2)</f>
        <v>0</v>
      </c>
      <c r="AF38" s="28">
        <f>ROUND(IF(AQ38="2",BH38,0),2)</f>
        <v>0</v>
      </c>
      <c r="AG38" s="28">
        <f>ROUND(IF(AQ38="2",BI38,0),2)</f>
        <v>0</v>
      </c>
      <c r="AH38" s="28">
        <f>ROUND(IF(AQ38="0",BJ38,0),2)</f>
        <v>0</v>
      </c>
      <c r="AI38" s="10" t="s">
        <v>54</v>
      </c>
      <c r="AJ38" s="28">
        <f>IF(AN38=0,K38,0)</f>
        <v>0</v>
      </c>
      <c r="AK38" s="28">
        <f>IF(AN38=12,K38,0)</f>
        <v>0</v>
      </c>
      <c r="AL38" s="28">
        <f>IF(AN38=21,K38,0)</f>
        <v>0</v>
      </c>
      <c r="AN38" s="28">
        <v>21</v>
      </c>
      <c r="AO38" s="28">
        <f>H38*0.01862556</f>
        <v>0</v>
      </c>
      <c r="AP38" s="28">
        <f>H38*(1-0.01862556)</f>
        <v>0</v>
      </c>
      <c r="AQ38" s="30" t="s">
        <v>58</v>
      </c>
      <c r="AV38" s="28">
        <f>ROUND(AW38+AX38,2)</f>
        <v>0</v>
      </c>
      <c r="AW38" s="28">
        <f>ROUND(G38*AO38,2)</f>
        <v>0</v>
      </c>
      <c r="AX38" s="28">
        <f>ROUND(G38*AP38,2)</f>
        <v>0</v>
      </c>
      <c r="AY38" s="30" t="s">
        <v>123</v>
      </c>
      <c r="AZ38" s="30" t="s">
        <v>118</v>
      </c>
      <c r="BA38" s="10" t="s">
        <v>65</v>
      </c>
      <c r="BC38" s="28">
        <f>AW38+AX38</f>
        <v>0</v>
      </c>
      <c r="BD38" s="28">
        <f>H38/(100-BE38)*100</f>
        <v>0</v>
      </c>
      <c r="BE38" s="28">
        <v>0</v>
      </c>
      <c r="BF38" s="28">
        <f>38</f>
        <v>38</v>
      </c>
      <c r="BH38" s="28">
        <f>G38*AO38</f>
        <v>0</v>
      </c>
      <c r="BI38" s="28">
        <f>G38*AP38</f>
        <v>0</v>
      </c>
      <c r="BJ38" s="28">
        <f>G38*H38</f>
        <v>0</v>
      </c>
      <c r="BK38" s="30" t="s">
        <v>66</v>
      </c>
      <c r="BL38" s="28">
        <v>28</v>
      </c>
      <c r="BW38" s="28">
        <v>21</v>
      </c>
      <c r="BX38" s="4" t="s">
        <v>122</v>
      </c>
    </row>
    <row r="39" spans="1:76" x14ac:dyDescent="0.25">
      <c r="A39" s="2" t="s">
        <v>124</v>
      </c>
      <c r="B39" s="3" t="s">
        <v>54</v>
      </c>
      <c r="C39" s="3" t="s">
        <v>125</v>
      </c>
      <c r="D39" s="72" t="s">
        <v>126</v>
      </c>
      <c r="E39" s="67"/>
      <c r="F39" s="3" t="s">
        <v>61</v>
      </c>
      <c r="G39" s="28">
        <v>460</v>
      </c>
      <c r="H39" s="61">
        <v>0</v>
      </c>
      <c r="I39" s="28">
        <f>ROUND(G39*AO39,2)</f>
        <v>0</v>
      </c>
      <c r="J39" s="28">
        <f>ROUND(G39*AP39,2)</f>
        <v>0</v>
      </c>
      <c r="K39" s="28">
        <f>ROUND(G39*H39,2)</f>
        <v>0</v>
      </c>
      <c r="L39" s="29" t="s">
        <v>62</v>
      </c>
      <c r="Z39" s="28">
        <f>ROUND(IF(AQ39="5",BJ39,0),2)</f>
        <v>0</v>
      </c>
      <c r="AB39" s="28">
        <f>ROUND(IF(AQ39="1",BH39,0),2)</f>
        <v>0</v>
      </c>
      <c r="AC39" s="28">
        <f>ROUND(IF(AQ39="1",BI39,0),2)</f>
        <v>0</v>
      </c>
      <c r="AD39" s="28">
        <f>ROUND(IF(AQ39="7",BH39,0),2)</f>
        <v>0</v>
      </c>
      <c r="AE39" s="28">
        <f>ROUND(IF(AQ39="7",BI39,0),2)</f>
        <v>0</v>
      </c>
      <c r="AF39" s="28">
        <f>ROUND(IF(AQ39="2",BH39,0),2)</f>
        <v>0</v>
      </c>
      <c r="AG39" s="28">
        <f>ROUND(IF(AQ39="2",BI39,0),2)</f>
        <v>0</v>
      </c>
      <c r="AH39" s="28">
        <f>ROUND(IF(AQ39="0",BJ39,0),2)</f>
        <v>0</v>
      </c>
      <c r="AI39" s="10" t="s">
        <v>54</v>
      </c>
      <c r="AJ39" s="28">
        <f>IF(AN39=0,K39,0)</f>
        <v>0</v>
      </c>
      <c r="AK39" s="28">
        <f>IF(AN39=12,K39,0)</f>
        <v>0</v>
      </c>
      <c r="AL39" s="28">
        <f>IF(AN39=21,K39,0)</f>
        <v>0</v>
      </c>
      <c r="AN39" s="28">
        <v>21</v>
      </c>
      <c r="AO39" s="28">
        <f>H39*0.255215947</f>
        <v>0</v>
      </c>
      <c r="AP39" s="28">
        <f>H39*(1-0.255215947)</f>
        <v>0</v>
      </c>
      <c r="AQ39" s="30" t="s">
        <v>58</v>
      </c>
      <c r="AV39" s="28">
        <f>ROUND(AW39+AX39,2)</f>
        <v>0</v>
      </c>
      <c r="AW39" s="28">
        <f>ROUND(G39*AO39,2)</f>
        <v>0</v>
      </c>
      <c r="AX39" s="28">
        <f>ROUND(G39*AP39,2)</f>
        <v>0</v>
      </c>
      <c r="AY39" s="30" t="s">
        <v>123</v>
      </c>
      <c r="AZ39" s="30" t="s">
        <v>118</v>
      </c>
      <c r="BA39" s="10" t="s">
        <v>65</v>
      </c>
      <c r="BC39" s="28">
        <f>AW39+AX39</f>
        <v>0</v>
      </c>
      <c r="BD39" s="28">
        <f>H39/(100-BE39)*100</f>
        <v>0</v>
      </c>
      <c r="BE39" s="28">
        <v>0</v>
      </c>
      <c r="BF39" s="28">
        <f>39</f>
        <v>39</v>
      </c>
      <c r="BH39" s="28">
        <f>G39*AO39</f>
        <v>0</v>
      </c>
      <c r="BI39" s="28">
        <f>G39*AP39</f>
        <v>0</v>
      </c>
      <c r="BJ39" s="28">
        <f>G39*H39</f>
        <v>0</v>
      </c>
      <c r="BK39" s="30" t="s">
        <v>66</v>
      </c>
      <c r="BL39" s="28">
        <v>28</v>
      </c>
      <c r="BW39" s="28">
        <v>21</v>
      </c>
      <c r="BX39" s="4" t="s">
        <v>126</v>
      </c>
    </row>
    <row r="40" spans="1:76" x14ac:dyDescent="0.25">
      <c r="A40" s="24" t="s">
        <v>53</v>
      </c>
      <c r="B40" s="25" t="s">
        <v>54</v>
      </c>
      <c r="C40" s="25" t="s">
        <v>127</v>
      </c>
      <c r="D40" s="83" t="s">
        <v>128</v>
      </c>
      <c r="E40" s="84"/>
      <c r="F40" s="26" t="s">
        <v>18</v>
      </c>
      <c r="G40" s="26" t="s">
        <v>18</v>
      </c>
      <c r="H40" s="26" t="s">
        <v>18</v>
      </c>
      <c r="I40" s="1">
        <f>SUM(I41:I41)</f>
        <v>0</v>
      </c>
      <c r="J40" s="1">
        <f>SUM(J41:J41)</f>
        <v>0</v>
      </c>
      <c r="K40" s="1">
        <f>SUM(K41:K41)</f>
        <v>0</v>
      </c>
      <c r="L40" s="27" t="s">
        <v>53</v>
      </c>
      <c r="AI40" s="10" t="s">
        <v>54</v>
      </c>
      <c r="AS40" s="1">
        <f>SUM(AJ41:AJ41)</f>
        <v>0</v>
      </c>
      <c r="AT40" s="1">
        <f>SUM(AK41:AK41)</f>
        <v>0</v>
      </c>
      <c r="AU40" s="1">
        <f>SUM(AL41:AL41)</f>
        <v>0</v>
      </c>
    </row>
    <row r="41" spans="1:76" x14ac:dyDescent="0.25">
      <c r="A41" s="2" t="s">
        <v>129</v>
      </c>
      <c r="B41" s="3" t="s">
        <v>54</v>
      </c>
      <c r="C41" s="3" t="s">
        <v>130</v>
      </c>
      <c r="D41" s="72" t="s">
        <v>131</v>
      </c>
      <c r="E41" s="67"/>
      <c r="F41" s="3" t="s">
        <v>72</v>
      </c>
      <c r="G41" s="28">
        <v>90</v>
      </c>
      <c r="H41" s="61">
        <v>0</v>
      </c>
      <c r="I41" s="28">
        <f>ROUND(G41*AO41,2)</f>
        <v>0</v>
      </c>
      <c r="J41" s="28">
        <f>ROUND(G41*AP41,2)</f>
        <v>0</v>
      </c>
      <c r="K41" s="28">
        <f>ROUND(G41*H41,2)</f>
        <v>0</v>
      </c>
      <c r="L41" s="29" t="s">
        <v>62</v>
      </c>
      <c r="Z41" s="28">
        <f>ROUND(IF(AQ41="5",BJ41,0),2)</f>
        <v>0</v>
      </c>
      <c r="AB41" s="28">
        <f>ROUND(IF(AQ41="1",BH41,0),2)</f>
        <v>0</v>
      </c>
      <c r="AC41" s="28">
        <f>ROUND(IF(AQ41="1",BI41,0),2)</f>
        <v>0</v>
      </c>
      <c r="AD41" s="28">
        <f>ROUND(IF(AQ41="7",BH41,0),2)</f>
        <v>0</v>
      </c>
      <c r="AE41" s="28">
        <f>ROUND(IF(AQ41="7",BI41,0),2)</f>
        <v>0</v>
      </c>
      <c r="AF41" s="28">
        <f>ROUND(IF(AQ41="2",BH41,0),2)</f>
        <v>0</v>
      </c>
      <c r="AG41" s="28">
        <f>ROUND(IF(AQ41="2",BI41,0),2)</f>
        <v>0</v>
      </c>
      <c r="AH41" s="28">
        <f>ROUND(IF(AQ41="0",BJ41,0),2)</f>
        <v>0</v>
      </c>
      <c r="AI41" s="10" t="s">
        <v>54</v>
      </c>
      <c r="AJ41" s="28">
        <f>IF(AN41=0,K41,0)</f>
        <v>0</v>
      </c>
      <c r="AK41" s="28">
        <f>IF(AN41=12,K41,0)</f>
        <v>0</v>
      </c>
      <c r="AL41" s="28">
        <f>IF(AN41=21,K41,0)</f>
        <v>0</v>
      </c>
      <c r="AN41" s="28">
        <v>21</v>
      </c>
      <c r="AO41" s="28">
        <f>H41*0.468777069</f>
        <v>0</v>
      </c>
      <c r="AP41" s="28">
        <f>H41*(1-0.468777069)</f>
        <v>0</v>
      </c>
      <c r="AQ41" s="30" t="s">
        <v>58</v>
      </c>
      <c r="AV41" s="28">
        <f>ROUND(AW41+AX41,2)</f>
        <v>0</v>
      </c>
      <c r="AW41" s="28">
        <f>ROUND(G41*AO41,2)</f>
        <v>0</v>
      </c>
      <c r="AX41" s="28">
        <f>ROUND(G41*AP41,2)</f>
        <v>0</v>
      </c>
      <c r="AY41" s="30" t="s">
        <v>132</v>
      </c>
      <c r="AZ41" s="30" t="s">
        <v>133</v>
      </c>
      <c r="BA41" s="10" t="s">
        <v>65</v>
      </c>
      <c r="BC41" s="28">
        <f>AW41+AX41</f>
        <v>0</v>
      </c>
      <c r="BD41" s="28">
        <f>H41/(100-BE41)*100</f>
        <v>0</v>
      </c>
      <c r="BE41" s="28">
        <v>0</v>
      </c>
      <c r="BF41" s="28">
        <f>41</f>
        <v>41</v>
      </c>
      <c r="BH41" s="28">
        <f>G41*AO41</f>
        <v>0</v>
      </c>
      <c r="BI41" s="28">
        <f>G41*AP41</f>
        <v>0</v>
      </c>
      <c r="BJ41" s="28">
        <f>G41*H41</f>
        <v>0</v>
      </c>
      <c r="BK41" s="30" t="s">
        <v>66</v>
      </c>
      <c r="BL41" s="28">
        <v>38</v>
      </c>
      <c r="BW41" s="28">
        <v>21</v>
      </c>
      <c r="BX41" s="4" t="s">
        <v>131</v>
      </c>
    </row>
    <row r="42" spans="1:76" x14ac:dyDescent="0.25">
      <c r="A42" s="24" t="s">
        <v>53</v>
      </c>
      <c r="B42" s="25" t="s">
        <v>54</v>
      </c>
      <c r="C42" s="25" t="s">
        <v>134</v>
      </c>
      <c r="D42" s="83" t="s">
        <v>135</v>
      </c>
      <c r="E42" s="84"/>
      <c r="F42" s="26" t="s">
        <v>18</v>
      </c>
      <c r="G42" s="26" t="s">
        <v>18</v>
      </c>
      <c r="H42" s="26" t="s">
        <v>18</v>
      </c>
      <c r="I42" s="1">
        <f>SUM(I43:I47)</f>
        <v>0</v>
      </c>
      <c r="J42" s="1">
        <f>SUM(J43:J47)</f>
        <v>0</v>
      </c>
      <c r="K42" s="1">
        <f>SUM(K43:K47)</f>
        <v>0</v>
      </c>
      <c r="L42" s="27" t="s">
        <v>53</v>
      </c>
      <c r="AI42" s="10" t="s">
        <v>54</v>
      </c>
      <c r="AS42" s="1">
        <f>SUM(AJ43:AJ47)</f>
        <v>0</v>
      </c>
      <c r="AT42" s="1">
        <f>SUM(AK43:AK47)</f>
        <v>0</v>
      </c>
      <c r="AU42" s="1">
        <f>SUM(AL43:AL47)</f>
        <v>0</v>
      </c>
    </row>
    <row r="43" spans="1:76" x14ac:dyDescent="0.25">
      <c r="A43" s="2" t="s">
        <v>136</v>
      </c>
      <c r="B43" s="3" t="s">
        <v>54</v>
      </c>
      <c r="C43" s="3" t="s">
        <v>137</v>
      </c>
      <c r="D43" s="72" t="s">
        <v>138</v>
      </c>
      <c r="E43" s="67"/>
      <c r="F43" s="3" t="s">
        <v>61</v>
      </c>
      <c r="G43" s="28">
        <v>570</v>
      </c>
      <c r="H43" s="61">
        <v>0</v>
      </c>
      <c r="I43" s="28">
        <f>ROUND(G43*AO43,2)</f>
        <v>0</v>
      </c>
      <c r="J43" s="28">
        <f>ROUND(G43*AP43,2)</f>
        <v>0</v>
      </c>
      <c r="K43" s="28">
        <f>ROUND(G43*H43,2)</f>
        <v>0</v>
      </c>
      <c r="L43" s="29" t="s">
        <v>62</v>
      </c>
      <c r="Z43" s="28">
        <f>ROUND(IF(AQ43="5",BJ43,0),2)</f>
        <v>0</v>
      </c>
      <c r="AB43" s="28">
        <f>ROUND(IF(AQ43="1",BH43,0),2)</f>
        <v>0</v>
      </c>
      <c r="AC43" s="28">
        <f>ROUND(IF(AQ43="1",BI43,0),2)</f>
        <v>0</v>
      </c>
      <c r="AD43" s="28">
        <f>ROUND(IF(AQ43="7",BH43,0),2)</f>
        <v>0</v>
      </c>
      <c r="AE43" s="28">
        <f>ROUND(IF(AQ43="7",BI43,0),2)</f>
        <v>0</v>
      </c>
      <c r="AF43" s="28">
        <f>ROUND(IF(AQ43="2",BH43,0),2)</f>
        <v>0</v>
      </c>
      <c r="AG43" s="28">
        <f>ROUND(IF(AQ43="2",BI43,0),2)</f>
        <v>0</v>
      </c>
      <c r="AH43" s="28">
        <f>ROUND(IF(AQ43="0",BJ43,0),2)</f>
        <v>0</v>
      </c>
      <c r="AI43" s="10" t="s">
        <v>54</v>
      </c>
      <c r="AJ43" s="28">
        <f>IF(AN43=0,K43,0)</f>
        <v>0</v>
      </c>
      <c r="AK43" s="28">
        <f>IF(AN43=12,K43,0)</f>
        <v>0</v>
      </c>
      <c r="AL43" s="28">
        <f>IF(AN43=21,K43,0)</f>
        <v>0</v>
      </c>
      <c r="AN43" s="28">
        <v>21</v>
      </c>
      <c r="AO43" s="28">
        <f>H43*0.829445585</f>
        <v>0</v>
      </c>
      <c r="AP43" s="28">
        <f>H43*(1-0.829445585)</f>
        <v>0</v>
      </c>
      <c r="AQ43" s="30" t="s">
        <v>58</v>
      </c>
      <c r="AV43" s="28">
        <f>ROUND(AW43+AX43,2)</f>
        <v>0</v>
      </c>
      <c r="AW43" s="28">
        <f>ROUND(G43*AO43,2)</f>
        <v>0</v>
      </c>
      <c r="AX43" s="28">
        <f>ROUND(G43*AP43,2)</f>
        <v>0</v>
      </c>
      <c r="AY43" s="30" t="s">
        <v>139</v>
      </c>
      <c r="AZ43" s="30" t="s">
        <v>140</v>
      </c>
      <c r="BA43" s="10" t="s">
        <v>65</v>
      </c>
      <c r="BC43" s="28">
        <f>AW43+AX43</f>
        <v>0</v>
      </c>
      <c r="BD43" s="28">
        <f>H43/(100-BE43)*100</f>
        <v>0</v>
      </c>
      <c r="BE43" s="28">
        <v>0</v>
      </c>
      <c r="BF43" s="28">
        <f>43</f>
        <v>43</v>
      </c>
      <c r="BH43" s="28">
        <f>G43*AO43</f>
        <v>0</v>
      </c>
      <c r="BI43" s="28">
        <f>G43*AP43</f>
        <v>0</v>
      </c>
      <c r="BJ43" s="28">
        <f>G43*H43</f>
        <v>0</v>
      </c>
      <c r="BK43" s="30" t="s">
        <v>66</v>
      </c>
      <c r="BL43" s="28">
        <v>56</v>
      </c>
      <c r="BW43" s="28">
        <v>21</v>
      </c>
      <c r="BX43" s="4" t="s">
        <v>138</v>
      </c>
    </row>
    <row r="44" spans="1:76" ht="13.5" customHeight="1" x14ac:dyDescent="0.25">
      <c r="A44" s="31"/>
      <c r="C44" s="32" t="s">
        <v>67</v>
      </c>
      <c r="D44" s="92" t="s">
        <v>141</v>
      </c>
      <c r="E44" s="93"/>
      <c r="F44" s="93"/>
      <c r="G44" s="93"/>
      <c r="H44" s="93"/>
      <c r="I44" s="93"/>
      <c r="J44" s="93"/>
      <c r="K44" s="93"/>
      <c r="L44" s="94"/>
    </row>
    <row r="45" spans="1:76" x14ac:dyDescent="0.25">
      <c r="A45" s="2" t="s">
        <v>142</v>
      </c>
      <c r="B45" s="3" t="s">
        <v>54</v>
      </c>
      <c r="C45" s="3" t="s">
        <v>143</v>
      </c>
      <c r="D45" s="72" t="s">
        <v>144</v>
      </c>
      <c r="E45" s="67"/>
      <c r="F45" s="3" t="s">
        <v>61</v>
      </c>
      <c r="G45" s="28">
        <v>570</v>
      </c>
      <c r="H45" s="61">
        <v>0</v>
      </c>
      <c r="I45" s="28">
        <f>ROUND(G45*AO45,2)</f>
        <v>0</v>
      </c>
      <c r="J45" s="28">
        <f>ROUND(G45*AP45,2)</f>
        <v>0</v>
      </c>
      <c r="K45" s="28">
        <f>ROUND(G45*H45,2)</f>
        <v>0</v>
      </c>
      <c r="L45" s="29" t="s">
        <v>62</v>
      </c>
      <c r="Z45" s="28">
        <f>ROUND(IF(AQ45="5",BJ45,0),2)</f>
        <v>0</v>
      </c>
      <c r="AB45" s="28">
        <f>ROUND(IF(AQ45="1",BH45,0),2)</f>
        <v>0</v>
      </c>
      <c r="AC45" s="28">
        <f>ROUND(IF(AQ45="1",BI45,0),2)</f>
        <v>0</v>
      </c>
      <c r="AD45" s="28">
        <f>ROUND(IF(AQ45="7",BH45,0),2)</f>
        <v>0</v>
      </c>
      <c r="AE45" s="28">
        <f>ROUND(IF(AQ45="7",BI45,0),2)</f>
        <v>0</v>
      </c>
      <c r="AF45" s="28">
        <f>ROUND(IF(AQ45="2",BH45,0),2)</f>
        <v>0</v>
      </c>
      <c r="AG45" s="28">
        <f>ROUND(IF(AQ45="2",BI45,0),2)</f>
        <v>0</v>
      </c>
      <c r="AH45" s="28">
        <f>ROUND(IF(AQ45="0",BJ45,0),2)</f>
        <v>0</v>
      </c>
      <c r="AI45" s="10" t="s">
        <v>54</v>
      </c>
      <c r="AJ45" s="28">
        <f>IF(AN45=0,K45,0)</f>
        <v>0</v>
      </c>
      <c r="AK45" s="28">
        <f>IF(AN45=12,K45,0)</f>
        <v>0</v>
      </c>
      <c r="AL45" s="28">
        <f>IF(AN45=21,K45,0)</f>
        <v>0</v>
      </c>
      <c r="AN45" s="28">
        <v>21</v>
      </c>
      <c r="AO45" s="28">
        <f>H45*0.808533333</f>
        <v>0</v>
      </c>
      <c r="AP45" s="28">
        <f>H45*(1-0.808533333)</f>
        <v>0</v>
      </c>
      <c r="AQ45" s="30" t="s">
        <v>58</v>
      </c>
      <c r="AV45" s="28">
        <f>ROUND(AW45+AX45,2)</f>
        <v>0</v>
      </c>
      <c r="AW45" s="28">
        <f>ROUND(G45*AO45,2)</f>
        <v>0</v>
      </c>
      <c r="AX45" s="28">
        <f>ROUND(G45*AP45,2)</f>
        <v>0</v>
      </c>
      <c r="AY45" s="30" t="s">
        <v>139</v>
      </c>
      <c r="AZ45" s="30" t="s">
        <v>140</v>
      </c>
      <c r="BA45" s="10" t="s">
        <v>65</v>
      </c>
      <c r="BC45" s="28">
        <f>AW45+AX45</f>
        <v>0</v>
      </c>
      <c r="BD45" s="28">
        <f>H45/(100-BE45)*100</f>
        <v>0</v>
      </c>
      <c r="BE45" s="28">
        <v>0</v>
      </c>
      <c r="BF45" s="28">
        <f>45</f>
        <v>45</v>
      </c>
      <c r="BH45" s="28">
        <f>G45*AO45</f>
        <v>0</v>
      </c>
      <c r="BI45" s="28">
        <f>G45*AP45</f>
        <v>0</v>
      </c>
      <c r="BJ45" s="28">
        <f>G45*H45</f>
        <v>0</v>
      </c>
      <c r="BK45" s="30" t="s">
        <v>66</v>
      </c>
      <c r="BL45" s="28">
        <v>56</v>
      </c>
      <c r="BW45" s="28">
        <v>21</v>
      </c>
      <c r="BX45" s="4" t="s">
        <v>144</v>
      </c>
    </row>
    <row r="46" spans="1:76" ht="13.5" customHeight="1" x14ac:dyDescent="0.25">
      <c r="A46" s="31"/>
      <c r="C46" s="32" t="s">
        <v>67</v>
      </c>
      <c r="D46" s="92" t="s">
        <v>141</v>
      </c>
      <c r="E46" s="93"/>
      <c r="F46" s="93"/>
      <c r="G46" s="93"/>
      <c r="H46" s="93"/>
      <c r="I46" s="93"/>
      <c r="J46" s="93"/>
      <c r="K46" s="93"/>
      <c r="L46" s="94"/>
    </row>
    <row r="47" spans="1:76" x14ac:dyDescent="0.25">
      <c r="A47" s="2" t="s">
        <v>108</v>
      </c>
      <c r="B47" s="3" t="s">
        <v>54</v>
      </c>
      <c r="C47" s="3" t="s">
        <v>145</v>
      </c>
      <c r="D47" s="72" t="s">
        <v>146</v>
      </c>
      <c r="E47" s="67"/>
      <c r="F47" s="3" t="s">
        <v>61</v>
      </c>
      <c r="G47" s="28">
        <v>550</v>
      </c>
      <c r="H47" s="61">
        <v>0</v>
      </c>
      <c r="I47" s="28">
        <f>ROUND(G47*AO47,2)</f>
        <v>0</v>
      </c>
      <c r="J47" s="28">
        <f>ROUND(G47*AP47,2)</f>
        <v>0</v>
      </c>
      <c r="K47" s="28">
        <f>ROUND(G47*H47,2)</f>
        <v>0</v>
      </c>
      <c r="L47" s="29" t="s">
        <v>62</v>
      </c>
      <c r="Z47" s="28">
        <f>ROUND(IF(AQ47="5",BJ47,0),2)</f>
        <v>0</v>
      </c>
      <c r="AB47" s="28">
        <f>ROUND(IF(AQ47="1",BH47,0),2)</f>
        <v>0</v>
      </c>
      <c r="AC47" s="28">
        <f>ROUND(IF(AQ47="1",BI47,0),2)</f>
        <v>0</v>
      </c>
      <c r="AD47" s="28">
        <f>ROUND(IF(AQ47="7",BH47,0),2)</f>
        <v>0</v>
      </c>
      <c r="AE47" s="28">
        <f>ROUND(IF(AQ47="7",BI47,0),2)</f>
        <v>0</v>
      </c>
      <c r="AF47" s="28">
        <f>ROUND(IF(AQ47="2",BH47,0),2)</f>
        <v>0</v>
      </c>
      <c r="AG47" s="28">
        <f>ROUND(IF(AQ47="2",BI47,0),2)</f>
        <v>0</v>
      </c>
      <c r="AH47" s="28">
        <f>ROUND(IF(AQ47="0",BJ47,0),2)</f>
        <v>0</v>
      </c>
      <c r="AI47" s="10" t="s">
        <v>54</v>
      </c>
      <c r="AJ47" s="28">
        <f>IF(AN47=0,K47,0)</f>
        <v>0</v>
      </c>
      <c r="AK47" s="28">
        <f>IF(AN47=12,K47,0)</f>
        <v>0</v>
      </c>
      <c r="AL47" s="28">
        <f>IF(AN47=21,K47,0)</f>
        <v>0</v>
      </c>
      <c r="AN47" s="28">
        <v>21</v>
      </c>
      <c r="AO47" s="28">
        <f>H47*0.597112527</f>
        <v>0</v>
      </c>
      <c r="AP47" s="28">
        <f>H47*(1-0.597112527)</f>
        <v>0</v>
      </c>
      <c r="AQ47" s="30" t="s">
        <v>58</v>
      </c>
      <c r="AV47" s="28">
        <f>ROUND(AW47+AX47,2)</f>
        <v>0</v>
      </c>
      <c r="AW47" s="28">
        <f>ROUND(G47*AO47,2)</f>
        <v>0</v>
      </c>
      <c r="AX47" s="28">
        <f>ROUND(G47*AP47,2)</f>
        <v>0</v>
      </c>
      <c r="AY47" s="30" t="s">
        <v>139</v>
      </c>
      <c r="AZ47" s="30" t="s">
        <v>140</v>
      </c>
      <c r="BA47" s="10" t="s">
        <v>65</v>
      </c>
      <c r="BC47" s="28">
        <f>AW47+AX47</f>
        <v>0</v>
      </c>
      <c r="BD47" s="28">
        <f>H47/(100-BE47)*100</f>
        <v>0</v>
      </c>
      <c r="BE47" s="28">
        <v>0</v>
      </c>
      <c r="BF47" s="28">
        <f>47</f>
        <v>47</v>
      </c>
      <c r="BH47" s="28">
        <f>G47*AO47</f>
        <v>0</v>
      </c>
      <c r="BI47" s="28">
        <f>G47*AP47</f>
        <v>0</v>
      </c>
      <c r="BJ47" s="28">
        <f>G47*H47</f>
        <v>0</v>
      </c>
      <c r="BK47" s="30" t="s">
        <v>66</v>
      </c>
      <c r="BL47" s="28">
        <v>56</v>
      </c>
      <c r="BW47" s="28">
        <v>21</v>
      </c>
      <c r="BX47" s="4" t="s">
        <v>146</v>
      </c>
    </row>
    <row r="48" spans="1:76" ht="13.5" customHeight="1" x14ac:dyDescent="0.25">
      <c r="A48" s="31"/>
      <c r="C48" s="32" t="s">
        <v>67</v>
      </c>
      <c r="D48" s="92" t="s">
        <v>147</v>
      </c>
      <c r="E48" s="93"/>
      <c r="F48" s="93"/>
      <c r="G48" s="93"/>
      <c r="H48" s="93"/>
      <c r="I48" s="93"/>
      <c r="J48" s="93"/>
      <c r="K48" s="93"/>
      <c r="L48" s="94"/>
    </row>
    <row r="49" spans="1:76" x14ac:dyDescent="0.25">
      <c r="A49" s="24" t="s">
        <v>53</v>
      </c>
      <c r="B49" s="25" t="s">
        <v>54</v>
      </c>
      <c r="C49" s="25" t="s">
        <v>148</v>
      </c>
      <c r="D49" s="83" t="s">
        <v>149</v>
      </c>
      <c r="E49" s="84"/>
      <c r="F49" s="26" t="s">
        <v>18</v>
      </c>
      <c r="G49" s="26" t="s">
        <v>18</v>
      </c>
      <c r="H49" s="26" t="s">
        <v>18</v>
      </c>
      <c r="I49" s="1">
        <f>SUM(I50:I55)</f>
        <v>0</v>
      </c>
      <c r="J49" s="1">
        <f>SUM(J50:J55)</f>
        <v>0</v>
      </c>
      <c r="K49" s="1">
        <f>SUM(K50:K55)</f>
        <v>0</v>
      </c>
      <c r="L49" s="27" t="s">
        <v>53</v>
      </c>
      <c r="AI49" s="10" t="s">
        <v>54</v>
      </c>
      <c r="AS49" s="1">
        <f>SUM(AJ50:AJ55)</f>
        <v>0</v>
      </c>
      <c r="AT49" s="1">
        <f>SUM(AK50:AK55)</f>
        <v>0</v>
      </c>
      <c r="AU49" s="1">
        <f>SUM(AL50:AL55)</f>
        <v>0</v>
      </c>
    </row>
    <row r="50" spans="1:76" x14ac:dyDescent="0.25">
      <c r="A50" s="2" t="s">
        <v>150</v>
      </c>
      <c r="B50" s="3" t="s">
        <v>54</v>
      </c>
      <c r="C50" s="3" t="s">
        <v>151</v>
      </c>
      <c r="D50" s="72" t="s">
        <v>152</v>
      </c>
      <c r="E50" s="67"/>
      <c r="F50" s="3" t="s">
        <v>61</v>
      </c>
      <c r="G50" s="28">
        <v>550</v>
      </c>
      <c r="H50" s="61">
        <v>0</v>
      </c>
      <c r="I50" s="28">
        <f>ROUND(G50*AO50,2)</f>
        <v>0</v>
      </c>
      <c r="J50" s="28">
        <f>ROUND(G50*AP50,2)</f>
        <v>0</v>
      </c>
      <c r="K50" s="28">
        <f>ROUND(G50*H50,2)</f>
        <v>0</v>
      </c>
      <c r="L50" s="29" t="s">
        <v>62</v>
      </c>
      <c r="Z50" s="28">
        <f>ROUND(IF(AQ50="5",BJ50,0),2)</f>
        <v>0</v>
      </c>
      <c r="AB50" s="28">
        <f>ROUND(IF(AQ50="1",BH50,0),2)</f>
        <v>0</v>
      </c>
      <c r="AC50" s="28">
        <f>ROUND(IF(AQ50="1",BI50,0),2)</f>
        <v>0</v>
      </c>
      <c r="AD50" s="28">
        <f>ROUND(IF(AQ50="7",BH50,0),2)</f>
        <v>0</v>
      </c>
      <c r="AE50" s="28">
        <f>ROUND(IF(AQ50="7",BI50,0),2)</f>
        <v>0</v>
      </c>
      <c r="AF50" s="28">
        <f>ROUND(IF(AQ50="2",BH50,0),2)</f>
        <v>0</v>
      </c>
      <c r="AG50" s="28">
        <f>ROUND(IF(AQ50="2",BI50,0),2)</f>
        <v>0</v>
      </c>
      <c r="AH50" s="28">
        <f>ROUND(IF(AQ50="0",BJ50,0),2)</f>
        <v>0</v>
      </c>
      <c r="AI50" s="10" t="s">
        <v>54</v>
      </c>
      <c r="AJ50" s="28">
        <f>IF(AN50=0,K50,0)</f>
        <v>0</v>
      </c>
      <c r="AK50" s="28">
        <f>IF(AN50=12,K50,0)</f>
        <v>0</v>
      </c>
      <c r="AL50" s="28">
        <f>IF(AN50=21,K50,0)</f>
        <v>0</v>
      </c>
      <c r="AN50" s="28">
        <v>21</v>
      </c>
      <c r="AO50" s="28">
        <f>H50*0.64493493</f>
        <v>0</v>
      </c>
      <c r="AP50" s="28">
        <f>H50*(1-0.64493493)</f>
        <v>0</v>
      </c>
      <c r="AQ50" s="30" t="s">
        <v>58</v>
      </c>
      <c r="AV50" s="28">
        <f>ROUND(AW50+AX50,2)</f>
        <v>0</v>
      </c>
      <c r="AW50" s="28">
        <f>ROUND(G50*AO50,2)</f>
        <v>0</v>
      </c>
      <c r="AX50" s="28">
        <f>ROUND(G50*AP50,2)</f>
        <v>0</v>
      </c>
      <c r="AY50" s="30" t="s">
        <v>153</v>
      </c>
      <c r="AZ50" s="30" t="s">
        <v>140</v>
      </c>
      <c r="BA50" s="10" t="s">
        <v>65</v>
      </c>
      <c r="BC50" s="28">
        <f>AW50+AX50</f>
        <v>0</v>
      </c>
      <c r="BD50" s="28">
        <f>H50/(100-BE50)*100</f>
        <v>0</v>
      </c>
      <c r="BE50" s="28">
        <v>0</v>
      </c>
      <c r="BF50" s="28">
        <f>50</f>
        <v>50</v>
      </c>
      <c r="BH50" s="28">
        <f>G50*AO50</f>
        <v>0</v>
      </c>
      <c r="BI50" s="28">
        <f>G50*AP50</f>
        <v>0</v>
      </c>
      <c r="BJ50" s="28">
        <f>G50*H50</f>
        <v>0</v>
      </c>
      <c r="BK50" s="30" t="s">
        <v>66</v>
      </c>
      <c r="BL50" s="28">
        <v>57</v>
      </c>
      <c r="BW50" s="28">
        <v>21</v>
      </c>
      <c r="BX50" s="4" t="s">
        <v>152</v>
      </c>
    </row>
    <row r="51" spans="1:76" ht="13.5" customHeight="1" x14ac:dyDescent="0.25">
      <c r="A51" s="31"/>
      <c r="C51" s="32" t="s">
        <v>67</v>
      </c>
      <c r="D51" s="92" t="s">
        <v>147</v>
      </c>
      <c r="E51" s="93"/>
      <c r="F51" s="93"/>
      <c r="G51" s="93"/>
      <c r="H51" s="93"/>
      <c r="I51" s="93"/>
      <c r="J51" s="93"/>
      <c r="K51" s="93"/>
      <c r="L51" s="94"/>
    </row>
    <row r="52" spans="1:76" x14ac:dyDescent="0.25">
      <c r="A52" s="2" t="s">
        <v>154</v>
      </c>
      <c r="B52" s="3" t="s">
        <v>54</v>
      </c>
      <c r="C52" s="3" t="s">
        <v>155</v>
      </c>
      <c r="D52" s="72" t="s">
        <v>156</v>
      </c>
      <c r="E52" s="67"/>
      <c r="F52" s="3" t="s">
        <v>61</v>
      </c>
      <c r="G52" s="28">
        <v>550</v>
      </c>
      <c r="H52" s="61">
        <v>0</v>
      </c>
      <c r="I52" s="28">
        <f>ROUND(G52*AO52,2)</f>
        <v>0</v>
      </c>
      <c r="J52" s="28">
        <f>ROUND(G52*AP52,2)</f>
        <v>0</v>
      </c>
      <c r="K52" s="28">
        <f>ROUND(G52*H52,2)</f>
        <v>0</v>
      </c>
      <c r="L52" s="29" t="s">
        <v>62</v>
      </c>
      <c r="Z52" s="28">
        <f>ROUND(IF(AQ52="5",BJ52,0),2)</f>
        <v>0</v>
      </c>
      <c r="AB52" s="28">
        <f>ROUND(IF(AQ52="1",BH52,0),2)</f>
        <v>0</v>
      </c>
      <c r="AC52" s="28">
        <f>ROUND(IF(AQ52="1",BI52,0),2)</f>
        <v>0</v>
      </c>
      <c r="AD52" s="28">
        <f>ROUND(IF(AQ52="7",BH52,0),2)</f>
        <v>0</v>
      </c>
      <c r="AE52" s="28">
        <f>ROUND(IF(AQ52="7",BI52,0),2)</f>
        <v>0</v>
      </c>
      <c r="AF52" s="28">
        <f>ROUND(IF(AQ52="2",BH52,0),2)</f>
        <v>0</v>
      </c>
      <c r="AG52" s="28">
        <f>ROUND(IF(AQ52="2",BI52,0),2)</f>
        <v>0</v>
      </c>
      <c r="AH52" s="28">
        <f>ROUND(IF(AQ52="0",BJ52,0),2)</f>
        <v>0</v>
      </c>
      <c r="AI52" s="10" t="s">
        <v>54</v>
      </c>
      <c r="AJ52" s="28">
        <f>IF(AN52=0,K52,0)</f>
        <v>0</v>
      </c>
      <c r="AK52" s="28">
        <f>IF(AN52=12,K52,0)</f>
        <v>0</v>
      </c>
      <c r="AL52" s="28">
        <f>IF(AN52=21,K52,0)</f>
        <v>0</v>
      </c>
      <c r="AN52" s="28">
        <v>21</v>
      </c>
      <c r="AO52" s="28">
        <f>H52*0.635192744</f>
        <v>0</v>
      </c>
      <c r="AP52" s="28">
        <f>H52*(1-0.635192744)</f>
        <v>0</v>
      </c>
      <c r="AQ52" s="30" t="s">
        <v>58</v>
      </c>
      <c r="AV52" s="28">
        <f>ROUND(AW52+AX52,2)</f>
        <v>0</v>
      </c>
      <c r="AW52" s="28">
        <f>ROUND(G52*AO52,2)</f>
        <v>0</v>
      </c>
      <c r="AX52" s="28">
        <f>ROUND(G52*AP52,2)</f>
        <v>0</v>
      </c>
      <c r="AY52" s="30" t="s">
        <v>153</v>
      </c>
      <c r="AZ52" s="30" t="s">
        <v>140</v>
      </c>
      <c r="BA52" s="10" t="s">
        <v>65</v>
      </c>
      <c r="BC52" s="28">
        <f>AW52+AX52</f>
        <v>0</v>
      </c>
      <c r="BD52" s="28">
        <f>H52/(100-BE52)*100</f>
        <v>0</v>
      </c>
      <c r="BE52" s="28">
        <v>0</v>
      </c>
      <c r="BF52" s="28">
        <f>52</f>
        <v>52</v>
      </c>
      <c r="BH52" s="28">
        <f>G52*AO52</f>
        <v>0</v>
      </c>
      <c r="BI52" s="28">
        <f>G52*AP52</f>
        <v>0</v>
      </c>
      <c r="BJ52" s="28">
        <f>G52*H52</f>
        <v>0</v>
      </c>
      <c r="BK52" s="30" t="s">
        <v>66</v>
      </c>
      <c r="BL52" s="28">
        <v>57</v>
      </c>
      <c r="BW52" s="28">
        <v>21</v>
      </c>
      <c r="BX52" s="4" t="s">
        <v>156</v>
      </c>
    </row>
    <row r="53" spans="1:76" ht="13.5" customHeight="1" x14ac:dyDescent="0.25">
      <c r="A53" s="31"/>
      <c r="C53" s="32" t="s">
        <v>67</v>
      </c>
      <c r="D53" s="92" t="s">
        <v>147</v>
      </c>
      <c r="E53" s="93"/>
      <c r="F53" s="93"/>
      <c r="G53" s="93"/>
      <c r="H53" s="93"/>
      <c r="I53" s="93"/>
      <c r="J53" s="93"/>
      <c r="K53" s="93"/>
      <c r="L53" s="94"/>
    </row>
    <row r="54" spans="1:76" x14ac:dyDescent="0.25">
      <c r="A54" s="2" t="s">
        <v>113</v>
      </c>
      <c r="B54" s="3" t="s">
        <v>54</v>
      </c>
      <c r="C54" s="3" t="s">
        <v>157</v>
      </c>
      <c r="D54" s="72" t="s">
        <v>158</v>
      </c>
      <c r="E54" s="67"/>
      <c r="F54" s="3" t="s">
        <v>61</v>
      </c>
      <c r="G54" s="28">
        <v>550</v>
      </c>
      <c r="H54" s="61">
        <v>0</v>
      </c>
      <c r="I54" s="28">
        <f>ROUND(G54*AO54,2)</f>
        <v>0</v>
      </c>
      <c r="J54" s="28">
        <f>ROUND(G54*AP54,2)</f>
        <v>0</v>
      </c>
      <c r="K54" s="28">
        <f>ROUND(G54*H54,2)</f>
        <v>0</v>
      </c>
      <c r="L54" s="29" t="s">
        <v>62</v>
      </c>
      <c r="Z54" s="28">
        <f>ROUND(IF(AQ54="5",BJ54,0),2)</f>
        <v>0</v>
      </c>
      <c r="AB54" s="28">
        <f>ROUND(IF(AQ54="1",BH54,0),2)</f>
        <v>0</v>
      </c>
      <c r="AC54" s="28">
        <f>ROUND(IF(AQ54="1",BI54,0),2)</f>
        <v>0</v>
      </c>
      <c r="AD54" s="28">
        <f>ROUND(IF(AQ54="7",BH54,0),2)</f>
        <v>0</v>
      </c>
      <c r="AE54" s="28">
        <f>ROUND(IF(AQ54="7",BI54,0),2)</f>
        <v>0</v>
      </c>
      <c r="AF54" s="28">
        <f>ROUND(IF(AQ54="2",BH54,0),2)</f>
        <v>0</v>
      </c>
      <c r="AG54" s="28">
        <f>ROUND(IF(AQ54="2",BI54,0),2)</f>
        <v>0</v>
      </c>
      <c r="AH54" s="28">
        <f>ROUND(IF(AQ54="0",BJ54,0),2)</f>
        <v>0</v>
      </c>
      <c r="AI54" s="10" t="s">
        <v>54</v>
      </c>
      <c r="AJ54" s="28">
        <f>IF(AN54=0,K54,0)</f>
        <v>0</v>
      </c>
      <c r="AK54" s="28">
        <f>IF(AN54=12,K54,0)</f>
        <v>0</v>
      </c>
      <c r="AL54" s="28">
        <f>IF(AN54=21,K54,0)</f>
        <v>0</v>
      </c>
      <c r="AN54" s="28">
        <v>21</v>
      </c>
      <c r="AO54" s="28">
        <f>H54*0.829578844</f>
        <v>0</v>
      </c>
      <c r="AP54" s="28">
        <f>H54*(1-0.829578844)</f>
        <v>0</v>
      </c>
      <c r="AQ54" s="30" t="s">
        <v>58</v>
      </c>
      <c r="AV54" s="28">
        <f>ROUND(AW54+AX54,2)</f>
        <v>0</v>
      </c>
      <c r="AW54" s="28">
        <f>ROUND(G54*AO54,2)</f>
        <v>0</v>
      </c>
      <c r="AX54" s="28">
        <f>ROUND(G54*AP54,2)</f>
        <v>0</v>
      </c>
      <c r="AY54" s="30" t="s">
        <v>153</v>
      </c>
      <c r="AZ54" s="30" t="s">
        <v>140</v>
      </c>
      <c r="BA54" s="10" t="s">
        <v>65</v>
      </c>
      <c r="BC54" s="28">
        <f>AW54+AX54</f>
        <v>0</v>
      </c>
      <c r="BD54" s="28">
        <f>H54/(100-BE54)*100</f>
        <v>0</v>
      </c>
      <c r="BE54" s="28">
        <v>0</v>
      </c>
      <c r="BF54" s="28">
        <f>54</f>
        <v>54</v>
      </c>
      <c r="BH54" s="28">
        <f>G54*AO54</f>
        <v>0</v>
      </c>
      <c r="BI54" s="28">
        <f>G54*AP54</f>
        <v>0</v>
      </c>
      <c r="BJ54" s="28">
        <f>G54*H54</f>
        <v>0</v>
      </c>
      <c r="BK54" s="30" t="s">
        <v>66</v>
      </c>
      <c r="BL54" s="28">
        <v>57</v>
      </c>
      <c r="BW54" s="28">
        <v>21</v>
      </c>
      <c r="BX54" s="4" t="s">
        <v>158</v>
      </c>
    </row>
    <row r="55" spans="1:76" x14ac:dyDescent="0.25">
      <c r="A55" s="2" t="s">
        <v>159</v>
      </c>
      <c r="B55" s="3" t="s">
        <v>54</v>
      </c>
      <c r="C55" s="3" t="s">
        <v>160</v>
      </c>
      <c r="D55" s="72" t="s">
        <v>161</v>
      </c>
      <c r="E55" s="67"/>
      <c r="F55" s="3" t="s">
        <v>61</v>
      </c>
      <c r="G55" s="28">
        <v>550</v>
      </c>
      <c r="H55" s="61">
        <v>0</v>
      </c>
      <c r="I55" s="28">
        <f>ROUND(G55*AO55,2)</f>
        <v>0</v>
      </c>
      <c r="J55" s="28">
        <f>ROUND(G55*AP55,2)</f>
        <v>0</v>
      </c>
      <c r="K55" s="28">
        <f>ROUND(G55*H55,2)</f>
        <v>0</v>
      </c>
      <c r="L55" s="29" t="s">
        <v>62</v>
      </c>
      <c r="Z55" s="28">
        <f>ROUND(IF(AQ55="5",BJ55,0),2)</f>
        <v>0</v>
      </c>
      <c r="AB55" s="28">
        <f>ROUND(IF(AQ55="1",BH55,0),2)</f>
        <v>0</v>
      </c>
      <c r="AC55" s="28">
        <f>ROUND(IF(AQ55="1",BI55,0),2)</f>
        <v>0</v>
      </c>
      <c r="AD55" s="28">
        <f>ROUND(IF(AQ55="7",BH55,0),2)</f>
        <v>0</v>
      </c>
      <c r="AE55" s="28">
        <f>ROUND(IF(AQ55="7",BI55,0),2)</f>
        <v>0</v>
      </c>
      <c r="AF55" s="28">
        <f>ROUND(IF(AQ55="2",BH55,0),2)</f>
        <v>0</v>
      </c>
      <c r="AG55" s="28">
        <f>ROUND(IF(AQ55="2",BI55,0),2)</f>
        <v>0</v>
      </c>
      <c r="AH55" s="28">
        <f>ROUND(IF(AQ55="0",BJ55,0),2)</f>
        <v>0</v>
      </c>
      <c r="AI55" s="10" t="s">
        <v>54</v>
      </c>
      <c r="AJ55" s="28">
        <f>IF(AN55=0,K55,0)</f>
        <v>0</v>
      </c>
      <c r="AK55" s="28">
        <f>IF(AN55=12,K55,0)</f>
        <v>0</v>
      </c>
      <c r="AL55" s="28">
        <f>IF(AN55=21,K55,0)</f>
        <v>0</v>
      </c>
      <c r="AN55" s="28">
        <v>21</v>
      </c>
      <c r="AO55" s="28">
        <f>H55*0.881469563</f>
        <v>0</v>
      </c>
      <c r="AP55" s="28">
        <f>H55*(1-0.881469563)</f>
        <v>0</v>
      </c>
      <c r="AQ55" s="30" t="s">
        <v>58</v>
      </c>
      <c r="AV55" s="28">
        <f>ROUND(AW55+AX55,2)</f>
        <v>0</v>
      </c>
      <c r="AW55" s="28">
        <f>ROUND(G55*AO55,2)</f>
        <v>0</v>
      </c>
      <c r="AX55" s="28">
        <f>ROUND(G55*AP55,2)</f>
        <v>0</v>
      </c>
      <c r="AY55" s="30" t="s">
        <v>153</v>
      </c>
      <c r="AZ55" s="30" t="s">
        <v>140</v>
      </c>
      <c r="BA55" s="10" t="s">
        <v>65</v>
      </c>
      <c r="BC55" s="28">
        <f>AW55+AX55</f>
        <v>0</v>
      </c>
      <c r="BD55" s="28">
        <f>H55/(100-BE55)*100</f>
        <v>0</v>
      </c>
      <c r="BE55" s="28">
        <v>0</v>
      </c>
      <c r="BF55" s="28">
        <f>55</f>
        <v>55</v>
      </c>
      <c r="BH55" s="28">
        <f>G55*AO55</f>
        <v>0</v>
      </c>
      <c r="BI55" s="28">
        <f>G55*AP55</f>
        <v>0</v>
      </c>
      <c r="BJ55" s="28">
        <f>G55*H55</f>
        <v>0</v>
      </c>
      <c r="BK55" s="30" t="s">
        <v>66</v>
      </c>
      <c r="BL55" s="28">
        <v>57</v>
      </c>
      <c r="BW55" s="28">
        <v>21</v>
      </c>
      <c r="BX55" s="4" t="s">
        <v>161</v>
      </c>
    </row>
    <row r="56" spans="1:76" x14ac:dyDescent="0.25">
      <c r="A56" s="24" t="s">
        <v>53</v>
      </c>
      <c r="B56" s="25" t="s">
        <v>54</v>
      </c>
      <c r="C56" s="25" t="s">
        <v>162</v>
      </c>
      <c r="D56" s="83" t="s">
        <v>163</v>
      </c>
      <c r="E56" s="84"/>
      <c r="F56" s="26" t="s">
        <v>18</v>
      </c>
      <c r="G56" s="26" t="s">
        <v>18</v>
      </c>
      <c r="H56" s="26" t="s">
        <v>18</v>
      </c>
      <c r="I56" s="1">
        <f>SUM(I57:I59)</f>
        <v>0</v>
      </c>
      <c r="J56" s="1">
        <f>SUM(J57:J59)</f>
        <v>0</v>
      </c>
      <c r="K56" s="1">
        <f>SUM(K57:K59)</f>
        <v>0</v>
      </c>
      <c r="L56" s="27" t="s">
        <v>53</v>
      </c>
      <c r="AI56" s="10" t="s">
        <v>54</v>
      </c>
      <c r="AS56" s="1">
        <f>SUM(AJ57:AJ59)</f>
        <v>0</v>
      </c>
      <c r="AT56" s="1">
        <f>SUM(AK57:AK59)</f>
        <v>0</v>
      </c>
      <c r="AU56" s="1">
        <f>SUM(AL57:AL59)</f>
        <v>0</v>
      </c>
    </row>
    <row r="57" spans="1:76" x14ac:dyDescent="0.25">
      <c r="A57" s="2" t="s">
        <v>164</v>
      </c>
      <c r="B57" s="3" t="s">
        <v>54</v>
      </c>
      <c r="C57" s="3" t="s">
        <v>165</v>
      </c>
      <c r="D57" s="72" t="s">
        <v>166</v>
      </c>
      <c r="E57" s="67"/>
      <c r="F57" s="3" t="s">
        <v>61</v>
      </c>
      <c r="G57" s="28">
        <v>196</v>
      </c>
      <c r="H57" s="61">
        <v>0</v>
      </c>
      <c r="I57" s="28">
        <f>ROUND(G57*AO57,2)</f>
        <v>0</v>
      </c>
      <c r="J57" s="28">
        <f>ROUND(G57*AP57,2)</f>
        <v>0</v>
      </c>
      <c r="K57" s="28">
        <f>ROUND(G57*H57,2)</f>
        <v>0</v>
      </c>
      <c r="L57" s="29" t="s">
        <v>62</v>
      </c>
      <c r="Z57" s="28">
        <f>ROUND(IF(AQ57="5",BJ57,0),2)</f>
        <v>0</v>
      </c>
      <c r="AB57" s="28">
        <f>ROUND(IF(AQ57="1",BH57,0),2)</f>
        <v>0</v>
      </c>
      <c r="AC57" s="28">
        <f>ROUND(IF(AQ57="1",BI57,0),2)</f>
        <v>0</v>
      </c>
      <c r="AD57" s="28">
        <f>ROUND(IF(AQ57="7",BH57,0),2)</f>
        <v>0</v>
      </c>
      <c r="AE57" s="28">
        <f>ROUND(IF(AQ57="7",BI57,0),2)</f>
        <v>0</v>
      </c>
      <c r="AF57" s="28">
        <f>ROUND(IF(AQ57="2",BH57,0),2)</f>
        <v>0</v>
      </c>
      <c r="AG57" s="28">
        <f>ROUND(IF(AQ57="2",BI57,0),2)</f>
        <v>0</v>
      </c>
      <c r="AH57" s="28">
        <f>ROUND(IF(AQ57="0",BJ57,0),2)</f>
        <v>0</v>
      </c>
      <c r="AI57" s="10" t="s">
        <v>54</v>
      </c>
      <c r="AJ57" s="28">
        <f>IF(AN57=0,K57,0)</f>
        <v>0</v>
      </c>
      <c r="AK57" s="28">
        <f>IF(AN57=12,K57,0)</f>
        <v>0</v>
      </c>
      <c r="AL57" s="28">
        <f>IF(AN57=21,K57,0)</f>
        <v>0</v>
      </c>
      <c r="AN57" s="28">
        <v>21</v>
      </c>
      <c r="AO57" s="28">
        <f>H57*0.482404993</f>
        <v>0</v>
      </c>
      <c r="AP57" s="28">
        <f>H57*(1-0.482404993)</f>
        <v>0</v>
      </c>
      <c r="AQ57" s="30" t="s">
        <v>58</v>
      </c>
      <c r="AV57" s="28">
        <f>ROUND(AW57+AX57,2)</f>
        <v>0</v>
      </c>
      <c r="AW57" s="28">
        <f>ROUND(G57*AO57,2)</f>
        <v>0</v>
      </c>
      <c r="AX57" s="28">
        <f>ROUND(G57*AP57,2)</f>
        <v>0</v>
      </c>
      <c r="AY57" s="30" t="s">
        <v>167</v>
      </c>
      <c r="AZ57" s="30" t="s">
        <v>140</v>
      </c>
      <c r="BA57" s="10" t="s">
        <v>65</v>
      </c>
      <c r="BC57" s="28">
        <f>AW57+AX57</f>
        <v>0</v>
      </c>
      <c r="BD57" s="28">
        <f>H57/(100-BE57)*100</f>
        <v>0</v>
      </c>
      <c r="BE57" s="28">
        <v>0</v>
      </c>
      <c r="BF57" s="28">
        <f>57</f>
        <v>57</v>
      </c>
      <c r="BH57" s="28">
        <f>G57*AO57</f>
        <v>0</v>
      </c>
      <c r="BI57" s="28">
        <f>G57*AP57</f>
        <v>0</v>
      </c>
      <c r="BJ57" s="28">
        <f>G57*H57</f>
        <v>0</v>
      </c>
      <c r="BK57" s="30" t="s">
        <v>66</v>
      </c>
      <c r="BL57" s="28">
        <v>59</v>
      </c>
      <c r="BW57" s="28">
        <v>21</v>
      </c>
      <c r="BX57" s="4" t="s">
        <v>166</v>
      </c>
    </row>
    <row r="58" spans="1:76" ht="13.5" customHeight="1" x14ac:dyDescent="0.25">
      <c r="A58" s="31"/>
      <c r="C58" s="32" t="s">
        <v>67</v>
      </c>
      <c r="D58" s="92" t="s">
        <v>168</v>
      </c>
      <c r="E58" s="93"/>
      <c r="F58" s="93"/>
      <c r="G58" s="93"/>
      <c r="H58" s="93"/>
      <c r="I58" s="93"/>
      <c r="J58" s="93"/>
      <c r="K58" s="93"/>
      <c r="L58" s="94"/>
    </row>
    <row r="59" spans="1:76" ht="25.5" x14ac:dyDescent="0.25">
      <c r="A59" s="2" t="s">
        <v>169</v>
      </c>
      <c r="B59" s="3" t="s">
        <v>54</v>
      </c>
      <c r="C59" s="3" t="s">
        <v>170</v>
      </c>
      <c r="D59" s="72" t="s">
        <v>171</v>
      </c>
      <c r="E59" s="67"/>
      <c r="F59" s="3" t="s">
        <v>61</v>
      </c>
      <c r="G59" s="28">
        <v>452</v>
      </c>
      <c r="H59" s="61">
        <v>0</v>
      </c>
      <c r="I59" s="28">
        <f>ROUND(G59*AO59,2)</f>
        <v>0</v>
      </c>
      <c r="J59" s="28">
        <f>ROUND(G59*AP59,2)</f>
        <v>0</v>
      </c>
      <c r="K59" s="28">
        <f>ROUND(G59*H59,2)</f>
        <v>0</v>
      </c>
      <c r="L59" s="29" t="s">
        <v>62</v>
      </c>
      <c r="Z59" s="28">
        <f>ROUND(IF(AQ59="5",BJ59,0),2)</f>
        <v>0</v>
      </c>
      <c r="AB59" s="28">
        <f>ROUND(IF(AQ59="1",BH59,0),2)</f>
        <v>0</v>
      </c>
      <c r="AC59" s="28">
        <f>ROUND(IF(AQ59="1",BI59,0),2)</f>
        <v>0</v>
      </c>
      <c r="AD59" s="28">
        <f>ROUND(IF(AQ59="7",BH59,0),2)</f>
        <v>0</v>
      </c>
      <c r="AE59" s="28">
        <f>ROUND(IF(AQ59="7",BI59,0),2)</f>
        <v>0</v>
      </c>
      <c r="AF59" s="28">
        <f>ROUND(IF(AQ59="2",BH59,0),2)</f>
        <v>0</v>
      </c>
      <c r="AG59" s="28">
        <f>ROUND(IF(AQ59="2",BI59,0),2)</f>
        <v>0</v>
      </c>
      <c r="AH59" s="28">
        <f>ROUND(IF(AQ59="0",BJ59,0),2)</f>
        <v>0</v>
      </c>
      <c r="AI59" s="10" t="s">
        <v>54</v>
      </c>
      <c r="AJ59" s="28">
        <f>IF(AN59=0,K59,0)</f>
        <v>0</v>
      </c>
      <c r="AK59" s="28">
        <f>IF(AN59=12,K59,0)</f>
        <v>0</v>
      </c>
      <c r="AL59" s="28">
        <f>IF(AN59=21,K59,0)</f>
        <v>0</v>
      </c>
      <c r="AN59" s="28">
        <v>21</v>
      </c>
      <c r="AO59" s="28">
        <f>H59*0.547643386</f>
        <v>0</v>
      </c>
      <c r="AP59" s="28">
        <f>H59*(1-0.547643386)</f>
        <v>0</v>
      </c>
      <c r="AQ59" s="30" t="s">
        <v>58</v>
      </c>
      <c r="AV59" s="28">
        <f>ROUND(AW59+AX59,2)</f>
        <v>0</v>
      </c>
      <c r="AW59" s="28">
        <f>ROUND(G59*AO59,2)</f>
        <v>0</v>
      </c>
      <c r="AX59" s="28">
        <f>ROUND(G59*AP59,2)</f>
        <v>0</v>
      </c>
      <c r="AY59" s="30" t="s">
        <v>167</v>
      </c>
      <c r="AZ59" s="30" t="s">
        <v>140</v>
      </c>
      <c r="BA59" s="10" t="s">
        <v>65</v>
      </c>
      <c r="BC59" s="28">
        <f>AW59+AX59</f>
        <v>0</v>
      </c>
      <c r="BD59" s="28">
        <f>H59/(100-BE59)*100</f>
        <v>0</v>
      </c>
      <c r="BE59" s="28">
        <v>0</v>
      </c>
      <c r="BF59" s="28">
        <f>59</f>
        <v>59</v>
      </c>
      <c r="BH59" s="28">
        <f>G59*AO59</f>
        <v>0</v>
      </c>
      <c r="BI59" s="28">
        <f>G59*AP59</f>
        <v>0</v>
      </c>
      <c r="BJ59" s="28">
        <f>G59*H59</f>
        <v>0</v>
      </c>
      <c r="BK59" s="30" t="s">
        <v>66</v>
      </c>
      <c r="BL59" s="28">
        <v>59</v>
      </c>
      <c r="BW59" s="28">
        <v>21</v>
      </c>
      <c r="BX59" s="4" t="s">
        <v>171</v>
      </c>
    </row>
    <row r="60" spans="1:76" ht="13.5" customHeight="1" x14ac:dyDescent="0.25">
      <c r="A60" s="31"/>
      <c r="C60" s="32" t="s">
        <v>67</v>
      </c>
      <c r="D60" s="92" t="s">
        <v>168</v>
      </c>
      <c r="E60" s="93"/>
      <c r="F60" s="93"/>
      <c r="G60" s="93"/>
      <c r="H60" s="93"/>
      <c r="I60" s="93"/>
      <c r="J60" s="93"/>
      <c r="K60" s="93"/>
      <c r="L60" s="94"/>
    </row>
    <row r="61" spans="1:76" x14ac:dyDescent="0.25">
      <c r="A61" s="24" t="s">
        <v>53</v>
      </c>
      <c r="B61" s="25" t="s">
        <v>54</v>
      </c>
      <c r="C61" s="25" t="s">
        <v>172</v>
      </c>
      <c r="D61" s="83" t="s">
        <v>173</v>
      </c>
      <c r="E61" s="84"/>
      <c r="F61" s="26" t="s">
        <v>18</v>
      </c>
      <c r="G61" s="26" t="s">
        <v>18</v>
      </c>
      <c r="H61" s="26" t="s">
        <v>18</v>
      </c>
      <c r="I61" s="1">
        <f>SUM(I62:I62)</f>
        <v>0</v>
      </c>
      <c r="J61" s="1">
        <f>SUM(J62:J62)</f>
        <v>0</v>
      </c>
      <c r="K61" s="1">
        <f>SUM(K62:K62)</f>
        <v>0</v>
      </c>
      <c r="L61" s="27" t="s">
        <v>53</v>
      </c>
      <c r="AI61" s="10" t="s">
        <v>54</v>
      </c>
      <c r="AS61" s="1">
        <f>SUM(AJ62:AJ62)</f>
        <v>0</v>
      </c>
      <c r="AT61" s="1">
        <f>SUM(AK62:AK62)</f>
        <v>0</v>
      </c>
      <c r="AU61" s="1">
        <f>SUM(AL62:AL62)</f>
        <v>0</v>
      </c>
    </row>
    <row r="62" spans="1:76" x14ac:dyDescent="0.25">
      <c r="A62" s="2" t="s">
        <v>174</v>
      </c>
      <c r="B62" s="3" t="s">
        <v>54</v>
      </c>
      <c r="C62" s="3" t="s">
        <v>175</v>
      </c>
      <c r="D62" s="72" t="s">
        <v>176</v>
      </c>
      <c r="E62" s="67"/>
      <c r="F62" s="3" t="s">
        <v>177</v>
      </c>
      <c r="G62" s="28">
        <v>3</v>
      </c>
      <c r="H62" s="61">
        <v>0</v>
      </c>
      <c r="I62" s="28">
        <f>ROUND(G62*AO62,2)</f>
        <v>0</v>
      </c>
      <c r="J62" s="28">
        <f>ROUND(G62*AP62,2)</f>
        <v>0</v>
      </c>
      <c r="K62" s="28">
        <f>ROUND(G62*H62,2)</f>
        <v>0</v>
      </c>
      <c r="L62" s="29" t="s">
        <v>62</v>
      </c>
      <c r="Z62" s="28">
        <f>ROUND(IF(AQ62="5",BJ62,0),2)</f>
        <v>0</v>
      </c>
      <c r="AB62" s="28">
        <f>ROUND(IF(AQ62="1",BH62,0),2)</f>
        <v>0</v>
      </c>
      <c r="AC62" s="28">
        <f>ROUND(IF(AQ62="1",BI62,0),2)</f>
        <v>0</v>
      </c>
      <c r="AD62" s="28">
        <f>ROUND(IF(AQ62="7",BH62,0),2)</f>
        <v>0</v>
      </c>
      <c r="AE62" s="28">
        <f>ROUND(IF(AQ62="7",BI62,0),2)</f>
        <v>0</v>
      </c>
      <c r="AF62" s="28">
        <f>ROUND(IF(AQ62="2",BH62,0),2)</f>
        <v>0</v>
      </c>
      <c r="AG62" s="28">
        <f>ROUND(IF(AQ62="2",BI62,0),2)</f>
        <v>0</v>
      </c>
      <c r="AH62" s="28">
        <f>ROUND(IF(AQ62="0",BJ62,0),2)</f>
        <v>0</v>
      </c>
      <c r="AI62" s="10" t="s">
        <v>54</v>
      </c>
      <c r="AJ62" s="28">
        <f>IF(AN62=0,K62,0)</f>
        <v>0</v>
      </c>
      <c r="AK62" s="28">
        <f>IF(AN62=12,K62,0)</f>
        <v>0</v>
      </c>
      <c r="AL62" s="28">
        <f>IF(AN62=21,K62,0)</f>
        <v>0</v>
      </c>
      <c r="AN62" s="28">
        <v>21</v>
      </c>
      <c r="AO62" s="28">
        <f>H62*0</f>
        <v>0</v>
      </c>
      <c r="AP62" s="28">
        <f>H62*(1-0)</f>
        <v>0</v>
      </c>
      <c r="AQ62" s="30" t="s">
        <v>88</v>
      </c>
      <c r="AV62" s="28">
        <f>ROUND(AW62+AX62,2)</f>
        <v>0</v>
      </c>
      <c r="AW62" s="28">
        <f>ROUND(G62*AO62,2)</f>
        <v>0</v>
      </c>
      <c r="AX62" s="28">
        <f>ROUND(G62*AP62,2)</f>
        <v>0</v>
      </c>
      <c r="AY62" s="30" t="s">
        <v>178</v>
      </c>
      <c r="AZ62" s="30" t="s">
        <v>179</v>
      </c>
      <c r="BA62" s="10" t="s">
        <v>65</v>
      </c>
      <c r="BC62" s="28">
        <f>AW62+AX62</f>
        <v>0</v>
      </c>
      <c r="BD62" s="28">
        <f>H62/(100-BE62)*100</f>
        <v>0</v>
      </c>
      <c r="BE62" s="28">
        <v>0</v>
      </c>
      <c r="BF62" s="28">
        <f>62</f>
        <v>62</v>
      </c>
      <c r="BH62" s="28">
        <f>G62*AO62</f>
        <v>0</v>
      </c>
      <c r="BI62" s="28">
        <f>G62*AP62</f>
        <v>0</v>
      </c>
      <c r="BJ62" s="28">
        <f>G62*H62</f>
        <v>0</v>
      </c>
      <c r="BK62" s="30" t="s">
        <v>66</v>
      </c>
      <c r="BL62" s="28">
        <v>721</v>
      </c>
      <c r="BW62" s="28">
        <v>21</v>
      </c>
      <c r="BX62" s="4" t="s">
        <v>176</v>
      </c>
    </row>
    <row r="63" spans="1:76" x14ac:dyDescent="0.25">
      <c r="A63" s="24" t="s">
        <v>53</v>
      </c>
      <c r="B63" s="25" t="s">
        <v>54</v>
      </c>
      <c r="C63" s="25" t="s">
        <v>180</v>
      </c>
      <c r="D63" s="83" t="s">
        <v>181</v>
      </c>
      <c r="E63" s="84"/>
      <c r="F63" s="26" t="s">
        <v>18</v>
      </c>
      <c r="G63" s="26" t="s">
        <v>18</v>
      </c>
      <c r="H63" s="26" t="s">
        <v>18</v>
      </c>
      <c r="I63" s="1">
        <f>SUM(I64:I68)</f>
        <v>0</v>
      </c>
      <c r="J63" s="1">
        <f>SUM(J64:J68)</f>
        <v>0</v>
      </c>
      <c r="K63" s="1">
        <f>SUM(K64:K68)</f>
        <v>0</v>
      </c>
      <c r="L63" s="27" t="s">
        <v>53</v>
      </c>
      <c r="AI63" s="10" t="s">
        <v>54</v>
      </c>
      <c r="AS63" s="1">
        <f>SUM(AJ64:AJ68)</f>
        <v>0</v>
      </c>
      <c r="AT63" s="1">
        <f>SUM(AK64:AK68)</f>
        <v>0</v>
      </c>
      <c r="AU63" s="1">
        <f>SUM(AL64:AL68)</f>
        <v>0</v>
      </c>
    </row>
    <row r="64" spans="1:76" x14ac:dyDescent="0.25">
      <c r="A64" s="2" t="s">
        <v>182</v>
      </c>
      <c r="B64" s="3" t="s">
        <v>54</v>
      </c>
      <c r="C64" s="3" t="s">
        <v>183</v>
      </c>
      <c r="D64" s="72" t="s">
        <v>184</v>
      </c>
      <c r="E64" s="67"/>
      <c r="F64" s="3" t="s">
        <v>177</v>
      </c>
      <c r="G64" s="28">
        <v>3</v>
      </c>
      <c r="H64" s="61">
        <v>0</v>
      </c>
      <c r="I64" s="28">
        <f>ROUND(G64*AO64,2)</f>
        <v>0</v>
      </c>
      <c r="J64" s="28">
        <f>ROUND(G64*AP64,2)</f>
        <v>0</v>
      </c>
      <c r="K64" s="28">
        <f>ROUND(G64*H64,2)</f>
        <v>0</v>
      </c>
      <c r="L64" s="29" t="s">
        <v>62</v>
      </c>
      <c r="Z64" s="28">
        <f>ROUND(IF(AQ64="5",BJ64,0),2)</f>
        <v>0</v>
      </c>
      <c r="AB64" s="28">
        <f>ROUND(IF(AQ64="1",BH64,0),2)</f>
        <v>0</v>
      </c>
      <c r="AC64" s="28">
        <f>ROUND(IF(AQ64="1",BI64,0),2)</f>
        <v>0</v>
      </c>
      <c r="AD64" s="28">
        <f>ROUND(IF(AQ64="7",BH64,0),2)</f>
        <v>0</v>
      </c>
      <c r="AE64" s="28">
        <f>ROUND(IF(AQ64="7",BI64,0),2)</f>
        <v>0</v>
      </c>
      <c r="AF64" s="28">
        <f>ROUND(IF(AQ64="2",BH64,0),2)</f>
        <v>0</v>
      </c>
      <c r="AG64" s="28">
        <f>ROUND(IF(AQ64="2",BI64,0),2)</f>
        <v>0</v>
      </c>
      <c r="AH64" s="28">
        <f>ROUND(IF(AQ64="0",BJ64,0),2)</f>
        <v>0</v>
      </c>
      <c r="AI64" s="10" t="s">
        <v>54</v>
      </c>
      <c r="AJ64" s="28">
        <f>IF(AN64=0,K64,0)</f>
        <v>0</v>
      </c>
      <c r="AK64" s="28">
        <f>IF(AN64=12,K64,0)</f>
        <v>0</v>
      </c>
      <c r="AL64" s="28">
        <f>IF(AN64=21,K64,0)</f>
        <v>0</v>
      </c>
      <c r="AN64" s="28">
        <v>21</v>
      </c>
      <c r="AO64" s="28">
        <f>H64*0.727125</f>
        <v>0</v>
      </c>
      <c r="AP64" s="28">
        <f>H64*(1-0.727125)</f>
        <v>0</v>
      </c>
      <c r="AQ64" s="30" t="s">
        <v>58</v>
      </c>
      <c r="AV64" s="28">
        <f>ROUND(AW64+AX64,2)</f>
        <v>0</v>
      </c>
      <c r="AW64" s="28">
        <f>ROUND(G64*AO64,2)</f>
        <v>0</v>
      </c>
      <c r="AX64" s="28">
        <f>ROUND(G64*AP64,2)</f>
        <v>0</v>
      </c>
      <c r="AY64" s="30" t="s">
        <v>185</v>
      </c>
      <c r="AZ64" s="30" t="s">
        <v>186</v>
      </c>
      <c r="BA64" s="10" t="s">
        <v>65</v>
      </c>
      <c r="BC64" s="28">
        <f>AW64+AX64</f>
        <v>0</v>
      </c>
      <c r="BD64" s="28">
        <f>H64/(100-BE64)*100</f>
        <v>0</v>
      </c>
      <c r="BE64" s="28">
        <v>0</v>
      </c>
      <c r="BF64" s="28">
        <f>64</f>
        <v>64</v>
      </c>
      <c r="BH64" s="28">
        <f>G64*AO64</f>
        <v>0</v>
      </c>
      <c r="BI64" s="28">
        <f>G64*AP64</f>
        <v>0</v>
      </c>
      <c r="BJ64" s="28">
        <f>G64*H64</f>
        <v>0</v>
      </c>
      <c r="BK64" s="30" t="s">
        <v>66</v>
      </c>
      <c r="BL64" s="28">
        <v>89</v>
      </c>
      <c r="BW64" s="28">
        <v>21</v>
      </c>
      <c r="BX64" s="4" t="s">
        <v>184</v>
      </c>
    </row>
    <row r="65" spans="1:76" ht="13.5" customHeight="1" x14ac:dyDescent="0.25">
      <c r="A65" s="31"/>
      <c r="C65" s="32" t="s">
        <v>67</v>
      </c>
      <c r="D65" s="92" t="s">
        <v>187</v>
      </c>
      <c r="E65" s="93"/>
      <c r="F65" s="93"/>
      <c r="G65" s="93"/>
      <c r="H65" s="93"/>
      <c r="I65" s="93"/>
      <c r="J65" s="93"/>
      <c r="K65" s="93"/>
      <c r="L65" s="94"/>
    </row>
    <row r="66" spans="1:76" x14ac:dyDescent="0.25">
      <c r="A66" s="2" t="s">
        <v>188</v>
      </c>
      <c r="B66" s="3" t="s">
        <v>54</v>
      </c>
      <c r="C66" s="3" t="s">
        <v>189</v>
      </c>
      <c r="D66" s="72" t="s">
        <v>190</v>
      </c>
      <c r="E66" s="67"/>
      <c r="F66" s="3" t="s">
        <v>177</v>
      </c>
      <c r="G66" s="28">
        <v>3</v>
      </c>
      <c r="H66" s="61">
        <v>0</v>
      </c>
      <c r="I66" s="28">
        <f>ROUND(G66*AO66,2)</f>
        <v>0</v>
      </c>
      <c r="J66" s="28">
        <f>ROUND(G66*AP66,2)</f>
        <v>0</v>
      </c>
      <c r="K66" s="28">
        <f>ROUND(G66*H66,2)</f>
        <v>0</v>
      </c>
      <c r="L66" s="29" t="s">
        <v>62</v>
      </c>
      <c r="Z66" s="28">
        <f>ROUND(IF(AQ66="5",BJ66,0),2)</f>
        <v>0</v>
      </c>
      <c r="AB66" s="28">
        <f>ROUND(IF(AQ66="1",BH66,0),2)</f>
        <v>0</v>
      </c>
      <c r="AC66" s="28">
        <f>ROUND(IF(AQ66="1",BI66,0),2)</f>
        <v>0</v>
      </c>
      <c r="AD66" s="28">
        <f>ROUND(IF(AQ66="7",BH66,0),2)</f>
        <v>0</v>
      </c>
      <c r="AE66" s="28">
        <f>ROUND(IF(AQ66="7",BI66,0),2)</f>
        <v>0</v>
      </c>
      <c r="AF66" s="28">
        <f>ROUND(IF(AQ66="2",BH66,0),2)</f>
        <v>0</v>
      </c>
      <c r="AG66" s="28">
        <f>ROUND(IF(AQ66="2",BI66,0),2)</f>
        <v>0</v>
      </c>
      <c r="AH66" s="28">
        <f>ROUND(IF(AQ66="0",BJ66,0),2)</f>
        <v>0</v>
      </c>
      <c r="AI66" s="10" t="s">
        <v>54</v>
      </c>
      <c r="AJ66" s="28">
        <f>IF(AN66=0,K66,0)</f>
        <v>0</v>
      </c>
      <c r="AK66" s="28">
        <f>IF(AN66=12,K66,0)</f>
        <v>0</v>
      </c>
      <c r="AL66" s="28">
        <f>IF(AN66=21,K66,0)</f>
        <v>0</v>
      </c>
      <c r="AN66" s="28">
        <v>21</v>
      </c>
      <c r="AO66" s="28">
        <f>H66*0.344363273</f>
        <v>0</v>
      </c>
      <c r="AP66" s="28">
        <f>H66*(1-0.344363273)</f>
        <v>0</v>
      </c>
      <c r="AQ66" s="30" t="s">
        <v>58</v>
      </c>
      <c r="AV66" s="28">
        <f>ROUND(AW66+AX66,2)</f>
        <v>0</v>
      </c>
      <c r="AW66" s="28">
        <f>ROUND(G66*AO66,2)</f>
        <v>0</v>
      </c>
      <c r="AX66" s="28">
        <f>ROUND(G66*AP66,2)</f>
        <v>0</v>
      </c>
      <c r="AY66" s="30" t="s">
        <v>185</v>
      </c>
      <c r="AZ66" s="30" t="s">
        <v>186</v>
      </c>
      <c r="BA66" s="10" t="s">
        <v>65</v>
      </c>
      <c r="BC66" s="28">
        <f>AW66+AX66</f>
        <v>0</v>
      </c>
      <c r="BD66" s="28">
        <f>H66/(100-BE66)*100</f>
        <v>0</v>
      </c>
      <c r="BE66" s="28">
        <v>0</v>
      </c>
      <c r="BF66" s="28">
        <f>66</f>
        <v>66</v>
      </c>
      <c r="BH66" s="28">
        <f>G66*AO66</f>
        <v>0</v>
      </c>
      <c r="BI66" s="28">
        <f>G66*AP66</f>
        <v>0</v>
      </c>
      <c r="BJ66" s="28">
        <f>G66*H66</f>
        <v>0</v>
      </c>
      <c r="BK66" s="30" t="s">
        <v>66</v>
      </c>
      <c r="BL66" s="28">
        <v>89</v>
      </c>
      <c r="BW66" s="28">
        <v>21</v>
      </c>
      <c r="BX66" s="4" t="s">
        <v>190</v>
      </c>
    </row>
    <row r="67" spans="1:76" x14ac:dyDescent="0.25">
      <c r="A67" s="2" t="s">
        <v>119</v>
      </c>
      <c r="B67" s="3" t="s">
        <v>54</v>
      </c>
      <c r="C67" s="3" t="s">
        <v>191</v>
      </c>
      <c r="D67" s="72" t="s">
        <v>192</v>
      </c>
      <c r="E67" s="67"/>
      <c r="F67" s="3" t="s">
        <v>177</v>
      </c>
      <c r="G67" s="28">
        <v>5</v>
      </c>
      <c r="H67" s="61">
        <v>0</v>
      </c>
      <c r="I67" s="28">
        <f>ROUND(G67*AO67,2)</f>
        <v>0</v>
      </c>
      <c r="J67" s="28">
        <f>ROUND(G67*AP67,2)</f>
        <v>0</v>
      </c>
      <c r="K67" s="28">
        <f>ROUND(G67*H67,2)</f>
        <v>0</v>
      </c>
      <c r="L67" s="29" t="s">
        <v>62</v>
      </c>
      <c r="Z67" s="28">
        <f>ROUND(IF(AQ67="5",BJ67,0),2)</f>
        <v>0</v>
      </c>
      <c r="AB67" s="28">
        <f>ROUND(IF(AQ67="1",BH67,0),2)</f>
        <v>0</v>
      </c>
      <c r="AC67" s="28">
        <f>ROUND(IF(AQ67="1",BI67,0),2)</f>
        <v>0</v>
      </c>
      <c r="AD67" s="28">
        <f>ROUND(IF(AQ67="7",BH67,0),2)</f>
        <v>0</v>
      </c>
      <c r="AE67" s="28">
        <f>ROUND(IF(AQ67="7",BI67,0),2)</f>
        <v>0</v>
      </c>
      <c r="AF67" s="28">
        <f>ROUND(IF(AQ67="2",BH67,0),2)</f>
        <v>0</v>
      </c>
      <c r="AG67" s="28">
        <f>ROUND(IF(AQ67="2",BI67,0),2)</f>
        <v>0</v>
      </c>
      <c r="AH67" s="28">
        <f>ROUND(IF(AQ67="0",BJ67,0),2)</f>
        <v>0</v>
      </c>
      <c r="AI67" s="10" t="s">
        <v>54</v>
      </c>
      <c r="AJ67" s="28">
        <f>IF(AN67=0,K67,0)</f>
        <v>0</v>
      </c>
      <c r="AK67" s="28">
        <f>IF(AN67=12,K67,0)</f>
        <v>0</v>
      </c>
      <c r="AL67" s="28">
        <f>IF(AN67=21,K67,0)</f>
        <v>0</v>
      </c>
      <c r="AN67" s="28">
        <v>21</v>
      </c>
      <c r="AO67" s="28">
        <f>H67*0.44740677</f>
        <v>0</v>
      </c>
      <c r="AP67" s="28">
        <f>H67*(1-0.44740677)</f>
        <v>0</v>
      </c>
      <c r="AQ67" s="30" t="s">
        <v>58</v>
      </c>
      <c r="AV67" s="28">
        <f>ROUND(AW67+AX67,2)</f>
        <v>0</v>
      </c>
      <c r="AW67" s="28">
        <f>ROUND(G67*AO67,2)</f>
        <v>0</v>
      </c>
      <c r="AX67" s="28">
        <f>ROUND(G67*AP67,2)</f>
        <v>0</v>
      </c>
      <c r="AY67" s="30" t="s">
        <v>185</v>
      </c>
      <c r="AZ67" s="30" t="s">
        <v>186</v>
      </c>
      <c r="BA67" s="10" t="s">
        <v>65</v>
      </c>
      <c r="BC67" s="28">
        <f>AW67+AX67</f>
        <v>0</v>
      </c>
      <c r="BD67" s="28">
        <f>H67/(100-BE67)*100</f>
        <v>0</v>
      </c>
      <c r="BE67" s="28">
        <v>0</v>
      </c>
      <c r="BF67" s="28">
        <f>67</f>
        <v>67</v>
      </c>
      <c r="BH67" s="28">
        <f>G67*AO67</f>
        <v>0</v>
      </c>
      <c r="BI67" s="28">
        <f>G67*AP67</f>
        <v>0</v>
      </c>
      <c r="BJ67" s="28">
        <f>G67*H67</f>
        <v>0</v>
      </c>
      <c r="BK67" s="30" t="s">
        <v>66</v>
      </c>
      <c r="BL67" s="28">
        <v>89</v>
      </c>
      <c r="BW67" s="28">
        <v>21</v>
      </c>
      <c r="BX67" s="4" t="s">
        <v>192</v>
      </c>
    </row>
    <row r="68" spans="1:76" x14ac:dyDescent="0.25">
      <c r="A68" s="2" t="s">
        <v>193</v>
      </c>
      <c r="B68" s="3" t="s">
        <v>54</v>
      </c>
      <c r="C68" s="3" t="s">
        <v>194</v>
      </c>
      <c r="D68" s="72" t="s">
        <v>195</v>
      </c>
      <c r="E68" s="67"/>
      <c r="F68" s="3" t="s">
        <v>177</v>
      </c>
      <c r="G68" s="28">
        <v>2</v>
      </c>
      <c r="H68" s="61">
        <v>0</v>
      </c>
      <c r="I68" s="28">
        <f>ROUND(G68*AO68,2)</f>
        <v>0</v>
      </c>
      <c r="J68" s="28">
        <f>ROUND(G68*AP68,2)</f>
        <v>0</v>
      </c>
      <c r="K68" s="28">
        <f>ROUND(G68*H68,2)</f>
        <v>0</v>
      </c>
      <c r="L68" s="29" t="s">
        <v>62</v>
      </c>
      <c r="Z68" s="28">
        <f>ROUND(IF(AQ68="5",BJ68,0),2)</f>
        <v>0</v>
      </c>
      <c r="AB68" s="28">
        <f>ROUND(IF(AQ68="1",BH68,0),2)</f>
        <v>0</v>
      </c>
      <c r="AC68" s="28">
        <f>ROUND(IF(AQ68="1",BI68,0),2)</f>
        <v>0</v>
      </c>
      <c r="AD68" s="28">
        <f>ROUND(IF(AQ68="7",BH68,0),2)</f>
        <v>0</v>
      </c>
      <c r="AE68" s="28">
        <f>ROUND(IF(AQ68="7",BI68,0),2)</f>
        <v>0</v>
      </c>
      <c r="AF68" s="28">
        <f>ROUND(IF(AQ68="2",BH68,0),2)</f>
        <v>0</v>
      </c>
      <c r="AG68" s="28">
        <f>ROUND(IF(AQ68="2",BI68,0),2)</f>
        <v>0</v>
      </c>
      <c r="AH68" s="28">
        <f>ROUND(IF(AQ68="0",BJ68,0),2)</f>
        <v>0</v>
      </c>
      <c r="AI68" s="10" t="s">
        <v>54</v>
      </c>
      <c r="AJ68" s="28">
        <f>IF(AN68=0,K68,0)</f>
        <v>0</v>
      </c>
      <c r="AK68" s="28">
        <f>IF(AN68=12,K68,0)</f>
        <v>0</v>
      </c>
      <c r="AL68" s="28">
        <f>IF(AN68=21,K68,0)</f>
        <v>0</v>
      </c>
      <c r="AN68" s="28">
        <v>21</v>
      </c>
      <c r="AO68" s="28">
        <f>H68*0.297465672</f>
        <v>0</v>
      </c>
      <c r="AP68" s="28">
        <f>H68*(1-0.297465672)</f>
        <v>0</v>
      </c>
      <c r="AQ68" s="30" t="s">
        <v>58</v>
      </c>
      <c r="AV68" s="28">
        <f>ROUND(AW68+AX68,2)</f>
        <v>0</v>
      </c>
      <c r="AW68" s="28">
        <f>ROUND(G68*AO68,2)</f>
        <v>0</v>
      </c>
      <c r="AX68" s="28">
        <f>ROUND(G68*AP68,2)</f>
        <v>0</v>
      </c>
      <c r="AY68" s="30" t="s">
        <v>185</v>
      </c>
      <c r="AZ68" s="30" t="s">
        <v>186</v>
      </c>
      <c r="BA68" s="10" t="s">
        <v>65</v>
      </c>
      <c r="BC68" s="28">
        <f>AW68+AX68</f>
        <v>0</v>
      </c>
      <c r="BD68" s="28">
        <f>H68/(100-BE68)*100</f>
        <v>0</v>
      </c>
      <c r="BE68" s="28">
        <v>0</v>
      </c>
      <c r="BF68" s="28">
        <f>68</f>
        <v>68</v>
      </c>
      <c r="BH68" s="28">
        <f>G68*AO68</f>
        <v>0</v>
      </c>
      <c r="BI68" s="28">
        <f>G68*AP68</f>
        <v>0</v>
      </c>
      <c r="BJ68" s="28">
        <f>G68*H68</f>
        <v>0</v>
      </c>
      <c r="BK68" s="30" t="s">
        <v>66</v>
      </c>
      <c r="BL68" s="28">
        <v>89</v>
      </c>
      <c r="BW68" s="28">
        <v>21</v>
      </c>
      <c r="BX68" s="4" t="s">
        <v>195</v>
      </c>
    </row>
    <row r="69" spans="1:76" x14ac:dyDescent="0.25">
      <c r="A69" s="24" t="s">
        <v>53</v>
      </c>
      <c r="B69" s="25" t="s">
        <v>54</v>
      </c>
      <c r="C69" s="25" t="s">
        <v>196</v>
      </c>
      <c r="D69" s="83" t="s">
        <v>197</v>
      </c>
      <c r="E69" s="84"/>
      <c r="F69" s="26" t="s">
        <v>18</v>
      </c>
      <c r="G69" s="26" t="s">
        <v>18</v>
      </c>
      <c r="H69" s="26" t="s">
        <v>18</v>
      </c>
      <c r="I69" s="1">
        <f>SUM(I70:I78)</f>
        <v>0</v>
      </c>
      <c r="J69" s="1">
        <f>SUM(J70:J78)</f>
        <v>0</v>
      </c>
      <c r="K69" s="1">
        <f>SUM(K70:K78)</f>
        <v>0</v>
      </c>
      <c r="L69" s="27" t="s">
        <v>53</v>
      </c>
      <c r="AI69" s="10" t="s">
        <v>54</v>
      </c>
      <c r="AS69" s="1">
        <f>SUM(AJ70:AJ78)</f>
        <v>0</v>
      </c>
      <c r="AT69" s="1">
        <f>SUM(AK70:AK78)</f>
        <v>0</v>
      </c>
      <c r="AU69" s="1">
        <f>SUM(AL70:AL78)</f>
        <v>0</v>
      </c>
    </row>
    <row r="70" spans="1:76" ht="25.5" x14ac:dyDescent="0.25">
      <c r="A70" s="2" t="s">
        <v>198</v>
      </c>
      <c r="B70" s="3" t="s">
        <v>54</v>
      </c>
      <c r="C70" s="3" t="s">
        <v>199</v>
      </c>
      <c r="D70" s="72" t="s">
        <v>457</v>
      </c>
      <c r="E70" s="67"/>
      <c r="F70" s="3" t="s">
        <v>72</v>
      </c>
      <c r="G70" s="28">
        <v>235</v>
      </c>
      <c r="H70" s="61">
        <v>0</v>
      </c>
      <c r="I70" s="28">
        <f>ROUND(G70*AO70,2)</f>
        <v>0</v>
      </c>
      <c r="J70" s="28">
        <f>ROUND(G70*AP70,2)</f>
        <v>0</v>
      </c>
      <c r="K70" s="28">
        <f>ROUND(G70*H70,2)</f>
        <v>0</v>
      </c>
      <c r="L70" s="29" t="s">
        <v>62</v>
      </c>
      <c r="Z70" s="28">
        <f>ROUND(IF(AQ70="5",BJ70,0),2)</f>
        <v>0</v>
      </c>
      <c r="AB70" s="28">
        <f>ROUND(IF(AQ70="1",BH70,0),2)</f>
        <v>0</v>
      </c>
      <c r="AC70" s="28">
        <f>ROUND(IF(AQ70="1",BI70,0),2)</f>
        <v>0</v>
      </c>
      <c r="AD70" s="28">
        <f>ROUND(IF(AQ70="7",BH70,0),2)</f>
        <v>0</v>
      </c>
      <c r="AE70" s="28">
        <f>ROUND(IF(AQ70="7",BI70,0),2)</f>
        <v>0</v>
      </c>
      <c r="AF70" s="28">
        <f>ROUND(IF(AQ70="2",BH70,0),2)</f>
        <v>0</v>
      </c>
      <c r="AG70" s="28">
        <f>ROUND(IF(AQ70="2",BI70,0),2)</f>
        <v>0</v>
      </c>
      <c r="AH70" s="28">
        <f>ROUND(IF(AQ70="0",BJ70,0),2)</f>
        <v>0</v>
      </c>
      <c r="AI70" s="10" t="s">
        <v>54</v>
      </c>
      <c r="AJ70" s="28">
        <f>IF(AN70=0,K70,0)</f>
        <v>0</v>
      </c>
      <c r="AK70" s="28">
        <f>IF(AN70=12,K70,0)</f>
        <v>0</v>
      </c>
      <c r="AL70" s="28">
        <f>IF(AN70=21,K70,0)</f>
        <v>0</v>
      </c>
      <c r="AN70" s="28">
        <v>21</v>
      </c>
      <c r="AO70" s="28">
        <f>H70*0.749886518</f>
        <v>0</v>
      </c>
      <c r="AP70" s="28">
        <f>H70*(1-0.749886518)</f>
        <v>0</v>
      </c>
      <c r="AQ70" s="30" t="s">
        <v>58</v>
      </c>
      <c r="AV70" s="28">
        <f>ROUND(AW70+AX70,2)</f>
        <v>0</v>
      </c>
      <c r="AW70" s="28">
        <f>ROUND(G70*AO70,2)</f>
        <v>0</v>
      </c>
      <c r="AX70" s="28">
        <f>ROUND(G70*AP70,2)</f>
        <v>0</v>
      </c>
      <c r="AY70" s="30" t="s">
        <v>201</v>
      </c>
      <c r="AZ70" s="30" t="s">
        <v>202</v>
      </c>
      <c r="BA70" s="10" t="s">
        <v>65</v>
      </c>
      <c r="BC70" s="28">
        <f>AW70+AX70</f>
        <v>0</v>
      </c>
      <c r="BD70" s="28">
        <f>H70/(100-BE70)*100</f>
        <v>0</v>
      </c>
      <c r="BE70" s="28">
        <v>0</v>
      </c>
      <c r="BF70" s="28">
        <f>70</f>
        <v>70</v>
      </c>
      <c r="BH70" s="28">
        <f>G70*AO70</f>
        <v>0</v>
      </c>
      <c r="BI70" s="28">
        <f>G70*AP70</f>
        <v>0</v>
      </c>
      <c r="BJ70" s="28">
        <f>G70*H70</f>
        <v>0</v>
      </c>
      <c r="BK70" s="30" t="s">
        <v>66</v>
      </c>
      <c r="BL70" s="28">
        <v>91</v>
      </c>
      <c r="BW70" s="28">
        <v>21</v>
      </c>
      <c r="BX70" s="4" t="s">
        <v>200</v>
      </c>
    </row>
    <row r="71" spans="1:76" ht="13.5" customHeight="1" x14ac:dyDescent="0.25">
      <c r="A71" s="31"/>
      <c r="C71" s="32" t="s">
        <v>67</v>
      </c>
      <c r="D71" s="92" t="s">
        <v>203</v>
      </c>
      <c r="E71" s="93"/>
      <c r="F71" s="93"/>
      <c r="G71" s="93"/>
      <c r="H71" s="93"/>
      <c r="I71" s="93"/>
      <c r="J71" s="93"/>
      <c r="K71" s="93"/>
      <c r="L71" s="94"/>
    </row>
    <row r="72" spans="1:76" ht="25.5" x14ac:dyDescent="0.25">
      <c r="A72" s="2" t="s">
        <v>204</v>
      </c>
      <c r="B72" s="3" t="s">
        <v>54</v>
      </c>
      <c r="C72" s="3" t="s">
        <v>205</v>
      </c>
      <c r="D72" s="72" t="s">
        <v>457</v>
      </c>
      <c r="E72" s="67"/>
      <c r="F72" s="3" t="s">
        <v>72</v>
      </c>
      <c r="G72" s="28">
        <v>125</v>
      </c>
      <c r="H72" s="61">
        <v>0</v>
      </c>
      <c r="I72" s="28">
        <f>ROUND(G72*AO72,2)</f>
        <v>0</v>
      </c>
      <c r="J72" s="28">
        <f>ROUND(G72*AP72,2)</f>
        <v>0</v>
      </c>
      <c r="K72" s="28">
        <f>ROUND(G72*H72,2)</f>
        <v>0</v>
      </c>
      <c r="L72" s="29" t="s">
        <v>62</v>
      </c>
      <c r="Z72" s="28">
        <f>ROUND(IF(AQ72="5",BJ72,0),2)</f>
        <v>0</v>
      </c>
      <c r="AB72" s="28">
        <f>ROUND(IF(AQ72="1",BH72,0),2)</f>
        <v>0</v>
      </c>
      <c r="AC72" s="28">
        <f>ROUND(IF(AQ72="1",BI72,0),2)</f>
        <v>0</v>
      </c>
      <c r="AD72" s="28">
        <f>ROUND(IF(AQ72="7",BH72,0),2)</f>
        <v>0</v>
      </c>
      <c r="AE72" s="28">
        <f>ROUND(IF(AQ72="7",BI72,0),2)</f>
        <v>0</v>
      </c>
      <c r="AF72" s="28">
        <f>ROUND(IF(AQ72="2",BH72,0),2)</f>
        <v>0</v>
      </c>
      <c r="AG72" s="28">
        <f>ROUND(IF(AQ72="2",BI72,0),2)</f>
        <v>0</v>
      </c>
      <c r="AH72" s="28">
        <f>ROUND(IF(AQ72="0",BJ72,0),2)</f>
        <v>0</v>
      </c>
      <c r="AI72" s="10" t="s">
        <v>54</v>
      </c>
      <c r="AJ72" s="28">
        <f>IF(AN72=0,K72,0)</f>
        <v>0</v>
      </c>
      <c r="AK72" s="28">
        <f>IF(AN72=12,K72,0)</f>
        <v>0</v>
      </c>
      <c r="AL72" s="28">
        <f>IF(AN72=21,K72,0)</f>
        <v>0</v>
      </c>
      <c r="AN72" s="28">
        <v>21</v>
      </c>
      <c r="AO72" s="28">
        <f>H72*0.718525055</f>
        <v>0</v>
      </c>
      <c r="AP72" s="28">
        <f>H72*(1-0.718525055)</f>
        <v>0</v>
      </c>
      <c r="AQ72" s="30" t="s">
        <v>58</v>
      </c>
      <c r="AV72" s="28">
        <f>ROUND(AW72+AX72,2)</f>
        <v>0</v>
      </c>
      <c r="AW72" s="28">
        <f>ROUND(G72*AO72,2)</f>
        <v>0</v>
      </c>
      <c r="AX72" s="28">
        <f>ROUND(G72*AP72,2)</f>
        <v>0</v>
      </c>
      <c r="AY72" s="30" t="s">
        <v>201</v>
      </c>
      <c r="AZ72" s="30" t="s">
        <v>202</v>
      </c>
      <c r="BA72" s="10" t="s">
        <v>65</v>
      </c>
      <c r="BC72" s="28">
        <f>AW72+AX72</f>
        <v>0</v>
      </c>
      <c r="BD72" s="28">
        <f>H72/(100-BE72)*100</f>
        <v>0</v>
      </c>
      <c r="BE72" s="28">
        <v>0</v>
      </c>
      <c r="BF72" s="28">
        <f>72</f>
        <v>72</v>
      </c>
      <c r="BH72" s="28">
        <f>G72*AO72</f>
        <v>0</v>
      </c>
      <c r="BI72" s="28">
        <f>G72*AP72</f>
        <v>0</v>
      </c>
      <c r="BJ72" s="28">
        <f>G72*H72</f>
        <v>0</v>
      </c>
      <c r="BK72" s="30" t="s">
        <v>66</v>
      </c>
      <c r="BL72" s="28">
        <v>91</v>
      </c>
      <c r="BW72" s="28">
        <v>21</v>
      </c>
      <c r="BX72" s="4" t="s">
        <v>200</v>
      </c>
    </row>
    <row r="73" spans="1:76" ht="13.5" customHeight="1" x14ac:dyDescent="0.25">
      <c r="A73" s="31"/>
      <c r="C73" s="32" t="s">
        <v>67</v>
      </c>
      <c r="D73" s="92" t="s">
        <v>206</v>
      </c>
      <c r="E73" s="93"/>
      <c r="F73" s="93"/>
      <c r="G73" s="93"/>
      <c r="H73" s="93"/>
      <c r="I73" s="93"/>
      <c r="J73" s="93"/>
      <c r="K73" s="93"/>
      <c r="L73" s="94"/>
    </row>
    <row r="74" spans="1:76" x14ac:dyDescent="0.25">
      <c r="A74" s="2" t="s">
        <v>207</v>
      </c>
      <c r="B74" s="3" t="s">
        <v>54</v>
      </c>
      <c r="C74" s="3" t="s">
        <v>208</v>
      </c>
      <c r="D74" s="72" t="s">
        <v>209</v>
      </c>
      <c r="E74" s="67"/>
      <c r="F74" s="3" t="s">
        <v>72</v>
      </c>
      <c r="G74" s="28">
        <v>82</v>
      </c>
      <c r="H74" s="61">
        <v>0</v>
      </c>
      <c r="I74" s="28">
        <f>ROUND(G74*AO74,2)</f>
        <v>0</v>
      </c>
      <c r="J74" s="28">
        <f>ROUND(G74*AP74,2)</f>
        <v>0</v>
      </c>
      <c r="K74" s="28">
        <f>ROUND(G74*H74,2)</f>
        <v>0</v>
      </c>
      <c r="L74" s="29" t="s">
        <v>62</v>
      </c>
      <c r="Z74" s="28">
        <f>ROUND(IF(AQ74="5",BJ74,0),2)</f>
        <v>0</v>
      </c>
      <c r="AB74" s="28">
        <f>ROUND(IF(AQ74="1",BH74,0),2)</f>
        <v>0</v>
      </c>
      <c r="AC74" s="28">
        <f>ROUND(IF(AQ74="1",BI74,0),2)</f>
        <v>0</v>
      </c>
      <c r="AD74" s="28">
        <f>ROUND(IF(AQ74="7",BH74,0),2)</f>
        <v>0</v>
      </c>
      <c r="AE74" s="28">
        <f>ROUND(IF(AQ74="7",BI74,0),2)</f>
        <v>0</v>
      </c>
      <c r="AF74" s="28">
        <f>ROUND(IF(AQ74="2",BH74,0),2)</f>
        <v>0</v>
      </c>
      <c r="AG74" s="28">
        <f>ROUND(IF(AQ74="2",BI74,0),2)</f>
        <v>0</v>
      </c>
      <c r="AH74" s="28">
        <f>ROUND(IF(AQ74="0",BJ74,0),2)</f>
        <v>0</v>
      </c>
      <c r="AI74" s="10" t="s">
        <v>54</v>
      </c>
      <c r="AJ74" s="28">
        <f>IF(AN74=0,K74,0)</f>
        <v>0</v>
      </c>
      <c r="AK74" s="28">
        <f>IF(AN74=12,K74,0)</f>
        <v>0</v>
      </c>
      <c r="AL74" s="28">
        <f>IF(AN74=21,K74,0)</f>
        <v>0</v>
      </c>
      <c r="AN74" s="28">
        <v>21</v>
      </c>
      <c r="AO74" s="28">
        <f>H74*0.297922078</f>
        <v>0</v>
      </c>
      <c r="AP74" s="28">
        <f>H74*(1-0.297922078)</f>
        <v>0</v>
      </c>
      <c r="AQ74" s="30" t="s">
        <v>58</v>
      </c>
      <c r="AV74" s="28">
        <f>ROUND(AW74+AX74,2)</f>
        <v>0</v>
      </c>
      <c r="AW74" s="28">
        <f>ROUND(G74*AO74,2)</f>
        <v>0</v>
      </c>
      <c r="AX74" s="28">
        <f>ROUND(G74*AP74,2)</f>
        <v>0</v>
      </c>
      <c r="AY74" s="30" t="s">
        <v>201</v>
      </c>
      <c r="AZ74" s="30" t="s">
        <v>202</v>
      </c>
      <c r="BA74" s="10" t="s">
        <v>65</v>
      </c>
      <c r="BC74" s="28">
        <f>AW74+AX74</f>
        <v>0</v>
      </c>
      <c r="BD74" s="28">
        <f>H74/(100-BE74)*100</f>
        <v>0</v>
      </c>
      <c r="BE74" s="28">
        <v>0</v>
      </c>
      <c r="BF74" s="28">
        <f>74</f>
        <v>74</v>
      </c>
      <c r="BH74" s="28">
        <f>G74*AO74</f>
        <v>0</v>
      </c>
      <c r="BI74" s="28">
        <f>G74*AP74</f>
        <v>0</v>
      </c>
      <c r="BJ74" s="28">
        <f>G74*H74</f>
        <v>0</v>
      </c>
      <c r="BK74" s="30" t="s">
        <v>66</v>
      </c>
      <c r="BL74" s="28">
        <v>91</v>
      </c>
      <c r="BW74" s="28">
        <v>21</v>
      </c>
      <c r="BX74" s="4" t="s">
        <v>209</v>
      </c>
    </row>
    <row r="75" spans="1:76" x14ac:dyDescent="0.25">
      <c r="A75" s="2" t="s">
        <v>210</v>
      </c>
      <c r="B75" s="3" t="s">
        <v>54</v>
      </c>
      <c r="C75" s="3" t="s">
        <v>211</v>
      </c>
      <c r="D75" s="72" t="s">
        <v>212</v>
      </c>
      <c r="E75" s="67"/>
      <c r="F75" s="3" t="s">
        <v>72</v>
      </c>
      <c r="G75" s="28">
        <v>30</v>
      </c>
      <c r="H75" s="61">
        <v>0</v>
      </c>
      <c r="I75" s="28">
        <f>ROUND(G75*AO75,2)</f>
        <v>0</v>
      </c>
      <c r="J75" s="28">
        <f>ROUND(G75*AP75,2)</f>
        <v>0</v>
      </c>
      <c r="K75" s="28">
        <f>ROUND(G75*H75,2)</f>
        <v>0</v>
      </c>
      <c r="L75" s="29" t="s">
        <v>62</v>
      </c>
      <c r="Z75" s="28">
        <f>ROUND(IF(AQ75="5",BJ75,0),2)</f>
        <v>0</v>
      </c>
      <c r="AB75" s="28">
        <f>ROUND(IF(AQ75="1",BH75,0),2)</f>
        <v>0</v>
      </c>
      <c r="AC75" s="28">
        <f>ROUND(IF(AQ75="1",BI75,0),2)</f>
        <v>0</v>
      </c>
      <c r="AD75" s="28">
        <f>ROUND(IF(AQ75="7",BH75,0),2)</f>
        <v>0</v>
      </c>
      <c r="AE75" s="28">
        <f>ROUND(IF(AQ75="7",BI75,0),2)</f>
        <v>0</v>
      </c>
      <c r="AF75" s="28">
        <f>ROUND(IF(AQ75="2",BH75,0),2)</f>
        <v>0</v>
      </c>
      <c r="AG75" s="28">
        <f>ROUND(IF(AQ75="2",BI75,0),2)</f>
        <v>0</v>
      </c>
      <c r="AH75" s="28">
        <f>ROUND(IF(AQ75="0",BJ75,0),2)</f>
        <v>0</v>
      </c>
      <c r="AI75" s="10" t="s">
        <v>54</v>
      </c>
      <c r="AJ75" s="28">
        <f>IF(AN75=0,K75,0)</f>
        <v>0</v>
      </c>
      <c r="AK75" s="28">
        <f>IF(AN75=12,K75,0)</f>
        <v>0</v>
      </c>
      <c r="AL75" s="28">
        <f>IF(AN75=21,K75,0)</f>
        <v>0</v>
      </c>
      <c r="AN75" s="28">
        <v>21</v>
      </c>
      <c r="AO75" s="28">
        <f>H75*0.523333333</f>
        <v>0</v>
      </c>
      <c r="AP75" s="28">
        <f>H75*(1-0.523333333)</f>
        <v>0</v>
      </c>
      <c r="AQ75" s="30" t="s">
        <v>58</v>
      </c>
      <c r="AV75" s="28">
        <f>ROUND(AW75+AX75,2)</f>
        <v>0</v>
      </c>
      <c r="AW75" s="28">
        <f>ROUND(G75*AO75,2)</f>
        <v>0</v>
      </c>
      <c r="AX75" s="28">
        <f>ROUND(G75*AP75,2)</f>
        <v>0</v>
      </c>
      <c r="AY75" s="30" t="s">
        <v>201</v>
      </c>
      <c r="AZ75" s="30" t="s">
        <v>202</v>
      </c>
      <c r="BA75" s="10" t="s">
        <v>65</v>
      </c>
      <c r="BC75" s="28">
        <f>AW75+AX75</f>
        <v>0</v>
      </c>
      <c r="BD75" s="28">
        <f>H75/(100-BE75)*100</f>
        <v>0</v>
      </c>
      <c r="BE75" s="28">
        <v>0</v>
      </c>
      <c r="BF75" s="28">
        <f>75</f>
        <v>75</v>
      </c>
      <c r="BH75" s="28">
        <f>G75*AO75</f>
        <v>0</v>
      </c>
      <c r="BI75" s="28">
        <f>G75*AP75</f>
        <v>0</v>
      </c>
      <c r="BJ75" s="28">
        <f>G75*H75</f>
        <v>0</v>
      </c>
      <c r="BK75" s="30" t="s">
        <v>66</v>
      </c>
      <c r="BL75" s="28">
        <v>91</v>
      </c>
      <c r="BW75" s="28">
        <v>21</v>
      </c>
      <c r="BX75" s="4" t="s">
        <v>212</v>
      </c>
    </row>
    <row r="76" spans="1:76" ht="25.5" x14ac:dyDescent="0.25">
      <c r="A76" s="2" t="s">
        <v>213</v>
      </c>
      <c r="B76" s="3" t="s">
        <v>54</v>
      </c>
      <c r="C76" s="3" t="s">
        <v>214</v>
      </c>
      <c r="D76" s="72" t="s">
        <v>215</v>
      </c>
      <c r="E76" s="67"/>
      <c r="F76" s="3" t="s">
        <v>177</v>
      </c>
      <c r="G76" s="28">
        <v>5</v>
      </c>
      <c r="H76" s="61">
        <v>0</v>
      </c>
      <c r="I76" s="28">
        <f>ROUND(G76*AO76,2)</f>
        <v>0</v>
      </c>
      <c r="J76" s="28">
        <f>ROUND(G76*AP76,2)</f>
        <v>0</v>
      </c>
      <c r="K76" s="28">
        <f>ROUND(G76*H76,2)</f>
        <v>0</v>
      </c>
      <c r="L76" s="29" t="s">
        <v>62</v>
      </c>
      <c r="Z76" s="28">
        <f>ROUND(IF(AQ76="5",BJ76,0),2)</f>
        <v>0</v>
      </c>
      <c r="AB76" s="28">
        <f>ROUND(IF(AQ76="1",BH76,0),2)</f>
        <v>0</v>
      </c>
      <c r="AC76" s="28">
        <f>ROUND(IF(AQ76="1",BI76,0),2)</f>
        <v>0</v>
      </c>
      <c r="AD76" s="28">
        <f>ROUND(IF(AQ76="7",BH76,0),2)</f>
        <v>0</v>
      </c>
      <c r="AE76" s="28">
        <f>ROUND(IF(AQ76="7",BI76,0),2)</f>
        <v>0</v>
      </c>
      <c r="AF76" s="28">
        <f>ROUND(IF(AQ76="2",BH76,0),2)</f>
        <v>0</v>
      </c>
      <c r="AG76" s="28">
        <f>ROUND(IF(AQ76="2",BI76,0),2)</f>
        <v>0</v>
      </c>
      <c r="AH76" s="28">
        <f>ROUND(IF(AQ76="0",BJ76,0),2)</f>
        <v>0</v>
      </c>
      <c r="AI76" s="10" t="s">
        <v>54</v>
      </c>
      <c r="AJ76" s="28">
        <f>IF(AN76=0,K76,0)</f>
        <v>0</v>
      </c>
      <c r="AK76" s="28">
        <f>IF(AN76=12,K76,0)</f>
        <v>0</v>
      </c>
      <c r="AL76" s="28">
        <f>IF(AN76=21,K76,0)</f>
        <v>0</v>
      </c>
      <c r="AN76" s="28">
        <v>21</v>
      </c>
      <c r="AO76" s="28">
        <f>H76*0.803406632</f>
        <v>0</v>
      </c>
      <c r="AP76" s="28">
        <f>H76*(1-0.803406632)</f>
        <v>0</v>
      </c>
      <c r="AQ76" s="30" t="s">
        <v>58</v>
      </c>
      <c r="AV76" s="28">
        <f>ROUND(AW76+AX76,2)</f>
        <v>0</v>
      </c>
      <c r="AW76" s="28">
        <f>ROUND(G76*AO76,2)</f>
        <v>0</v>
      </c>
      <c r="AX76" s="28">
        <f>ROUND(G76*AP76,2)</f>
        <v>0</v>
      </c>
      <c r="AY76" s="30" t="s">
        <v>201</v>
      </c>
      <c r="AZ76" s="30" t="s">
        <v>202</v>
      </c>
      <c r="BA76" s="10" t="s">
        <v>65</v>
      </c>
      <c r="BC76" s="28">
        <f>AW76+AX76</f>
        <v>0</v>
      </c>
      <c r="BD76" s="28">
        <f>H76/(100-BE76)*100</f>
        <v>0</v>
      </c>
      <c r="BE76" s="28">
        <v>0</v>
      </c>
      <c r="BF76" s="28">
        <f>76</f>
        <v>76</v>
      </c>
      <c r="BH76" s="28">
        <f>G76*AO76</f>
        <v>0</v>
      </c>
      <c r="BI76" s="28">
        <f>G76*AP76</f>
        <v>0</v>
      </c>
      <c r="BJ76" s="28">
        <f>G76*H76</f>
        <v>0</v>
      </c>
      <c r="BK76" s="30" t="s">
        <v>66</v>
      </c>
      <c r="BL76" s="28">
        <v>91</v>
      </c>
      <c r="BW76" s="28">
        <v>21</v>
      </c>
      <c r="BX76" s="4" t="s">
        <v>215</v>
      </c>
    </row>
    <row r="77" spans="1:76" ht="13.5" customHeight="1" x14ac:dyDescent="0.25">
      <c r="A77" s="31"/>
      <c r="C77" s="32" t="s">
        <v>67</v>
      </c>
      <c r="D77" s="92" t="s">
        <v>216</v>
      </c>
      <c r="E77" s="93"/>
      <c r="F77" s="93"/>
      <c r="G77" s="93"/>
      <c r="H77" s="93"/>
      <c r="I77" s="93"/>
      <c r="J77" s="93"/>
      <c r="K77" s="93"/>
      <c r="L77" s="94"/>
    </row>
    <row r="78" spans="1:76" x14ac:dyDescent="0.25">
      <c r="A78" s="2" t="s">
        <v>217</v>
      </c>
      <c r="B78" s="3" t="s">
        <v>54</v>
      </c>
      <c r="C78" s="3" t="s">
        <v>218</v>
      </c>
      <c r="D78" s="72" t="s">
        <v>219</v>
      </c>
      <c r="E78" s="67"/>
      <c r="F78" s="3" t="s">
        <v>61</v>
      </c>
      <c r="G78" s="28">
        <v>26</v>
      </c>
      <c r="H78" s="61">
        <v>0</v>
      </c>
      <c r="I78" s="28">
        <f>ROUND(G78*AO78,2)</f>
        <v>0</v>
      </c>
      <c r="J78" s="28">
        <f>ROUND(G78*AP78,2)</f>
        <v>0</v>
      </c>
      <c r="K78" s="28">
        <f>ROUND(G78*H78,2)</f>
        <v>0</v>
      </c>
      <c r="L78" s="29" t="s">
        <v>62</v>
      </c>
      <c r="Z78" s="28">
        <f>ROUND(IF(AQ78="5",BJ78,0),2)</f>
        <v>0</v>
      </c>
      <c r="AB78" s="28">
        <f>ROUND(IF(AQ78="1",BH78,0),2)</f>
        <v>0</v>
      </c>
      <c r="AC78" s="28">
        <f>ROUND(IF(AQ78="1",BI78,0),2)</f>
        <v>0</v>
      </c>
      <c r="AD78" s="28">
        <f>ROUND(IF(AQ78="7",BH78,0),2)</f>
        <v>0</v>
      </c>
      <c r="AE78" s="28">
        <f>ROUND(IF(AQ78="7",BI78,0),2)</f>
        <v>0</v>
      </c>
      <c r="AF78" s="28">
        <f>ROUND(IF(AQ78="2",BH78,0),2)</f>
        <v>0</v>
      </c>
      <c r="AG78" s="28">
        <f>ROUND(IF(AQ78="2",BI78,0),2)</f>
        <v>0</v>
      </c>
      <c r="AH78" s="28">
        <f>ROUND(IF(AQ78="0",BJ78,0),2)</f>
        <v>0</v>
      </c>
      <c r="AI78" s="10" t="s">
        <v>54</v>
      </c>
      <c r="AJ78" s="28">
        <f>IF(AN78=0,K78,0)</f>
        <v>0</v>
      </c>
      <c r="AK78" s="28">
        <f>IF(AN78=12,K78,0)</f>
        <v>0</v>
      </c>
      <c r="AL78" s="28">
        <f>IF(AN78=21,K78,0)</f>
        <v>0</v>
      </c>
      <c r="AN78" s="28">
        <v>21</v>
      </c>
      <c r="AO78" s="28">
        <f>H78*0.410345423</f>
        <v>0</v>
      </c>
      <c r="AP78" s="28">
        <f>H78*(1-0.410345423)</f>
        <v>0</v>
      </c>
      <c r="AQ78" s="30" t="s">
        <v>58</v>
      </c>
      <c r="AV78" s="28">
        <f>ROUND(AW78+AX78,2)</f>
        <v>0</v>
      </c>
      <c r="AW78" s="28">
        <f>ROUND(G78*AO78,2)</f>
        <v>0</v>
      </c>
      <c r="AX78" s="28">
        <f>ROUND(G78*AP78,2)</f>
        <v>0</v>
      </c>
      <c r="AY78" s="30" t="s">
        <v>201</v>
      </c>
      <c r="AZ78" s="30" t="s">
        <v>202</v>
      </c>
      <c r="BA78" s="10" t="s">
        <v>65</v>
      </c>
      <c r="BC78" s="28">
        <f>AW78+AX78</f>
        <v>0</v>
      </c>
      <c r="BD78" s="28">
        <f>H78/(100-BE78)*100</f>
        <v>0</v>
      </c>
      <c r="BE78" s="28">
        <v>0</v>
      </c>
      <c r="BF78" s="28">
        <f>78</f>
        <v>78</v>
      </c>
      <c r="BH78" s="28">
        <f>G78*AO78</f>
        <v>0</v>
      </c>
      <c r="BI78" s="28">
        <f>G78*AP78</f>
        <v>0</v>
      </c>
      <c r="BJ78" s="28">
        <f>G78*H78</f>
        <v>0</v>
      </c>
      <c r="BK78" s="30" t="s">
        <v>66</v>
      </c>
      <c r="BL78" s="28">
        <v>91</v>
      </c>
      <c r="BW78" s="28">
        <v>21</v>
      </c>
      <c r="BX78" s="4" t="s">
        <v>219</v>
      </c>
    </row>
    <row r="79" spans="1:76" x14ac:dyDescent="0.25">
      <c r="A79" s="24" t="s">
        <v>53</v>
      </c>
      <c r="B79" s="25" t="s">
        <v>54</v>
      </c>
      <c r="C79" s="25" t="s">
        <v>220</v>
      </c>
      <c r="D79" s="83" t="s">
        <v>221</v>
      </c>
      <c r="E79" s="84"/>
      <c r="F79" s="26" t="s">
        <v>18</v>
      </c>
      <c r="G79" s="26" t="s">
        <v>18</v>
      </c>
      <c r="H79" s="26" t="s">
        <v>18</v>
      </c>
      <c r="I79" s="1">
        <f>SUM(I80:I80)</f>
        <v>0</v>
      </c>
      <c r="J79" s="1">
        <f>SUM(J80:J80)</f>
        <v>0</v>
      </c>
      <c r="K79" s="1">
        <f>SUM(K80:K80)</f>
        <v>0</v>
      </c>
      <c r="L79" s="27" t="s">
        <v>53</v>
      </c>
      <c r="AI79" s="10" t="s">
        <v>54</v>
      </c>
      <c r="AS79" s="1">
        <f>SUM(AJ80:AJ80)</f>
        <v>0</v>
      </c>
      <c r="AT79" s="1">
        <f>SUM(AK80:AK80)</f>
        <v>0</v>
      </c>
      <c r="AU79" s="1">
        <f>SUM(AL80:AL80)</f>
        <v>0</v>
      </c>
    </row>
    <row r="80" spans="1:76" ht="25.5" x14ac:dyDescent="0.25">
      <c r="A80" s="2" t="s">
        <v>222</v>
      </c>
      <c r="B80" s="3" t="s">
        <v>54</v>
      </c>
      <c r="C80" s="3" t="s">
        <v>223</v>
      </c>
      <c r="D80" s="72" t="s">
        <v>224</v>
      </c>
      <c r="E80" s="67"/>
      <c r="F80" s="3" t="s">
        <v>225</v>
      </c>
      <c r="G80" s="28">
        <v>177</v>
      </c>
      <c r="H80" s="61">
        <v>0</v>
      </c>
      <c r="I80" s="28">
        <f>ROUND(G80*AO80,2)</f>
        <v>0</v>
      </c>
      <c r="J80" s="28">
        <f>ROUND(G80*AP80,2)</f>
        <v>0</v>
      </c>
      <c r="K80" s="28">
        <f>ROUND(G80*H80,2)</f>
        <v>0</v>
      </c>
      <c r="L80" s="29" t="s">
        <v>62</v>
      </c>
      <c r="Z80" s="28">
        <f>ROUND(IF(AQ80="5",BJ80,0),2)</f>
        <v>0</v>
      </c>
      <c r="AB80" s="28">
        <f>ROUND(IF(AQ80="1",BH80,0),2)</f>
        <v>0</v>
      </c>
      <c r="AC80" s="28">
        <f>ROUND(IF(AQ80="1",BI80,0),2)</f>
        <v>0</v>
      </c>
      <c r="AD80" s="28">
        <f>ROUND(IF(AQ80="7",BH80,0),2)</f>
        <v>0</v>
      </c>
      <c r="AE80" s="28">
        <f>ROUND(IF(AQ80="7",BI80,0),2)</f>
        <v>0</v>
      </c>
      <c r="AF80" s="28">
        <f>ROUND(IF(AQ80="2",BH80,0),2)</f>
        <v>0</v>
      </c>
      <c r="AG80" s="28">
        <f>ROUND(IF(AQ80="2",BI80,0),2)</f>
        <v>0</v>
      </c>
      <c r="AH80" s="28">
        <f>ROUND(IF(AQ80="0",BJ80,0),2)</f>
        <v>0</v>
      </c>
      <c r="AI80" s="10" t="s">
        <v>54</v>
      </c>
      <c r="AJ80" s="28">
        <f>IF(AN80=0,K80,0)</f>
        <v>0</v>
      </c>
      <c r="AK80" s="28">
        <f>IF(AN80=12,K80,0)</f>
        <v>0</v>
      </c>
      <c r="AL80" s="28">
        <f>IF(AN80=21,K80,0)</f>
        <v>0</v>
      </c>
      <c r="AN80" s="28">
        <v>21</v>
      </c>
      <c r="AO80" s="28">
        <f>H80*0</f>
        <v>0</v>
      </c>
      <c r="AP80" s="28">
        <f>H80*(1-0)</f>
        <v>0</v>
      </c>
      <c r="AQ80" s="30" t="s">
        <v>58</v>
      </c>
      <c r="AV80" s="28">
        <f>ROUND(AW80+AX80,2)</f>
        <v>0</v>
      </c>
      <c r="AW80" s="28">
        <f>ROUND(G80*AO80,2)</f>
        <v>0</v>
      </c>
      <c r="AX80" s="28">
        <f>ROUND(G80*AP80,2)</f>
        <v>0</v>
      </c>
      <c r="AY80" s="30" t="s">
        <v>226</v>
      </c>
      <c r="AZ80" s="30" t="s">
        <v>202</v>
      </c>
      <c r="BA80" s="10" t="s">
        <v>65</v>
      </c>
      <c r="BC80" s="28">
        <f>AW80+AX80</f>
        <v>0</v>
      </c>
      <c r="BD80" s="28">
        <f>H80/(100-BE80)*100</f>
        <v>0</v>
      </c>
      <c r="BE80" s="28">
        <v>0</v>
      </c>
      <c r="BF80" s="28">
        <f>80</f>
        <v>80</v>
      </c>
      <c r="BH80" s="28">
        <f>G80*AO80</f>
        <v>0</v>
      </c>
      <c r="BI80" s="28">
        <f>G80*AP80</f>
        <v>0</v>
      </c>
      <c r="BJ80" s="28">
        <f>G80*H80</f>
        <v>0</v>
      </c>
      <c r="BK80" s="30" t="s">
        <v>66</v>
      </c>
      <c r="BL80" s="28">
        <v>97</v>
      </c>
      <c r="BW80" s="28">
        <v>21</v>
      </c>
      <c r="BX80" s="4" t="s">
        <v>224</v>
      </c>
    </row>
    <row r="81" spans="1:76" x14ac:dyDescent="0.25">
      <c r="A81" s="24" t="s">
        <v>53</v>
      </c>
      <c r="B81" s="25" t="s">
        <v>54</v>
      </c>
      <c r="C81" s="25" t="s">
        <v>227</v>
      </c>
      <c r="D81" s="83" t="s">
        <v>228</v>
      </c>
      <c r="E81" s="84"/>
      <c r="F81" s="26" t="s">
        <v>18</v>
      </c>
      <c r="G81" s="26" t="s">
        <v>18</v>
      </c>
      <c r="H81" s="26" t="s">
        <v>18</v>
      </c>
      <c r="I81" s="1">
        <f>SUM(I82:I82)</f>
        <v>0</v>
      </c>
      <c r="J81" s="1">
        <f>SUM(J82:J82)</f>
        <v>0</v>
      </c>
      <c r="K81" s="1">
        <f>SUM(K82:K82)</f>
        <v>0</v>
      </c>
      <c r="L81" s="27" t="s">
        <v>53</v>
      </c>
      <c r="AI81" s="10" t="s">
        <v>54</v>
      </c>
      <c r="AS81" s="1">
        <f>SUM(AJ82:AJ82)</f>
        <v>0</v>
      </c>
      <c r="AT81" s="1">
        <f>SUM(AK82:AK82)</f>
        <v>0</v>
      </c>
      <c r="AU81" s="1">
        <f>SUM(AL82:AL82)</f>
        <v>0</v>
      </c>
    </row>
    <row r="82" spans="1:76" x14ac:dyDescent="0.25">
      <c r="A82" s="2" t="s">
        <v>229</v>
      </c>
      <c r="B82" s="3" t="s">
        <v>54</v>
      </c>
      <c r="C82" s="3" t="s">
        <v>230</v>
      </c>
      <c r="D82" s="72" t="s">
        <v>231</v>
      </c>
      <c r="E82" s="67"/>
      <c r="F82" s="3" t="s">
        <v>225</v>
      </c>
      <c r="G82" s="28">
        <v>2945</v>
      </c>
      <c r="H82" s="61">
        <v>0</v>
      </c>
      <c r="I82" s="28">
        <f>ROUND(G82*AO82,2)</f>
        <v>0</v>
      </c>
      <c r="J82" s="28">
        <f>ROUND(G82*AP82,2)</f>
        <v>0</v>
      </c>
      <c r="K82" s="28">
        <f>ROUND(G82*H82,2)</f>
        <v>0</v>
      </c>
      <c r="L82" s="29" t="s">
        <v>62</v>
      </c>
      <c r="Z82" s="28">
        <f>ROUND(IF(AQ82="5",BJ82,0),2)</f>
        <v>0</v>
      </c>
      <c r="AB82" s="28">
        <f>ROUND(IF(AQ82="1",BH82,0),2)</f>
        <v>0</v>
      </c>
      <c r="AC82" s="28">
        <f>ROUND(IF(AQ82="1",BI82,0),2)</f>
        <v>0</v>
      </c>
      <c r="AD82" s="28">
        <f>ROUND(IF(AQ82="7",BH82,0),2)</f>
        <v>0</v>
      </c>
      <c r="AE82" s="28">
        <f>ROUND(IF(AQ82="7",BI82,0),2)</f>
        <v>0</v>
      </c>
      <c r="AF82" s="28">
        <f>ROUND(IF(AQ82="2",BH82,0),2)</f>
        <v>0</v>
      </c>
      <c r="AG82" s="28">
        <f>ROUND(IF(AQ82="2",BI82,0),2)</f>
        <v>0</v>
      </c>
      <c r="AH82" s="28">
        <f>ROUND(IF(AQ82="0",BJ82,0),2)</f>
        <v>0</v>
      </c>
      <c r="AI82" s="10" t="s">
        <v>54</v>
      </c>
      <c r="AJ82" s="28">
        <f>IF(AN82=0,K82,0)</f>
        <v>0</v>
      </c>
      <c r="AK82" s="28">
        <f>IF(AN82=12,K82,0)</f>
        <v>0</v>
      </c>
      <c r="AL82" s="28">
        <f>IF(AN82=21,K82,0)</f>
        <v>0</v>
      </c>
      <c r="AN82" s="28">
        <v>21</v>
      </c>
      <c r="AO82" s="28">
        <f>H82*0</f>
        <v>0</v>
      </c>
      <c r="AP82" s="28">
        <f>H82*(1-0)</f>
        <v>0</v>
      </c>
      <c r="AQ82" s="30" t="s">
        <v>80</v>
      </c>
      <c r="AV82" s="28">
        <f>ROUND(AW82+AX82,2)</f>
        <v>0</v>
      </c>
      <c r="AW82" s="28">
        <f>ROUND(G82*AO82,2)</f>
        <v>0</v>
      </c>
      <c r="AX82" s="28">
        <f>ROUND(G82*AP82,2)</f>
        <v>0</v>
      </c>
      <c r="AY82" s="30" t="s">
        <v>232</v>
      </c>
      <c r="AZ82" s="30" t="s">
        <v>202</v>
      </c>
      <c r="BA82" s="10" t="s">
        <v>65</v>
      </c>
      <c r="BC82" s="28">
        <f>AW82+AX82</f>
        <v>0</v>
      </c>
      <c r="BD82" s="28">
        <f>H82/(100-BE82)*100</f>
        <v>0</v>
      </c>
      <c r="BE82" s="28">
        <v>0</v>
      </c>
      <c r="BF82" s="28">
        <f>82</f>
        <v>82</v>
      </c>
      <c r="BH82" s="28">
        <f>G82*AO82</f>
        <v>0</v>
      </c>
      <c r="BI82" s="28">
        <f>G82*AP82</f>
        <v>0</v>
      </c>
      <c r="BJ82" s="28">
        <f>G82*H82</f>
        <v>0</v>
      </c>
      <c r="BK82" s="30" t="s">
        <v>66</v>
      </c>
      <c r="BL82" s="28"/>
      <c r="BW82" s="28">
        <v>21</v>
      </c>
      <c r="BX82" s="4" t="s">
        <v>231</v>
      </c>
    </row>
    <row r="83" spans="1:76" x14ac:dyDescent="0.25">
      <c r="A83" s="24" t="s">
        <v>53</v>
      </c>
      <c r="B83" s="25" t="s">
        <v>54</v>
      </c>
      <c r="C83" s="25" t="s">
        <v>233</v>
      </c>
      <c r="D83" s="83" t="s">
        <v>234</v>
      </c>
      <c r="E83" s="84"/>
      <c r="F83" s="26" t="s">
        <v>18</v>
      </c>
      <c r="G83" s="26" t="s">
        <v>18</v>
      </c>
      <c r="H83" s="26" t="s">
        <v>18</v>
      </c>
      <c r="I83" s="1">
        <f>SUM(I84:I84)</f>
        <v>0</v>
      </c>
      <c r="J83" s="1">
        <f>SUM(J84:J84)</f>
        <v>0</v>
      </c>
      <c r="K83" s="1">
        <f>SUM(K84:K84)</f>
        <v>0</v>
      </c>
      <c r="L83" s="27" t="s">
        <v>53</v>
      </c>
      <c r="AI83" s="10" t="s">
        <v>54</v>
      </c>
      <c r="AS83" s="1">
        <f>SUM(AJ84:AJ84)</f>
        <v>0</v>
      </c>
      <c r="AT83" s="1">
        <f>SUM(AK84:AK84)</f>
        <v>0</v>
      </c>
      <c r="AU83" s="1">
        <f>SUM(AL84:AL84)</f>
        <v>0</v>
      </c>
    </row>
    <row r="84" spans="1:76" x14ac:dyDescent="0.25">
      <c r="A84" s="2" t="s">
        <v>127</v>
      </c>
      <c r="B84" s="3" t="s">
        <v>54</v>
      </c>
      <c r="C84" s="3" t="s">
        <v>235</v>
      </c>
      <c r="D84" s="72" t="s">
        <v>236</v>
      </c>
      <c r="E84" s="67"/>
      <c r="F84" s="3" t="s">
        <v>225</v>
      </c>
      <c r="G84" s="28">
        <v>4</v>
      </c>
      <c r="H84" s="61">
        <v>0</v>
      </c>
      <c r="I84" s="28">
        <f>ROUND(G84*AO84,2)</f>
        <v>0</v>
      </c>
      <c r="J84" s="28">
        <f>ROUND(G84*AP84,2)</f>
        <v>0</v>
      </c>
      <c r="K84" s="28">
        <f>ROUND(G84*H84,2)</f>
        <v>0</v>
      </c>
      <c r="L84" s="29" t="s">
        <v>62</v>
      </c>
      <c r="Z84" s="28">
        <f>ROUND(IF(AQ84="5",BJ84,0),2)</f>
        <v>0</v>
      </c>
      <c r="AB84" s="28">
        <f>ROUND(IF(AQ84="1",BH84,0),2)</f>
        <v>0</v>
      </c>
      <c r="AC84" s="28">
        <f>ROUND(IF(AQ84="1",BI84,0),2)</f>
        <v>0</v>
      </c>
      <c r="AD84" s="28">
        <f>ROUND(IF(AQ84="7",BH84,0),2)</f>
        <v>0</v>
      </c>
      <c r="AE84" s="28">
        <f>ROUND(IF(AQ84="7",BI84,0),2)</f>
        <v>0</v>
      </c>
      <c r="AF84" s="28">
        <f>ROUND(IF(AQ84="2",BH84,0),2)</f>
        <v>0</v>
      </c>
      <c r="AG84" s="28">
        <f>ROUND(IF(AQ84="2",BI84,0),2)</f>
        <v>0</v>
      </c>
      <c r="AH84" s="28">
        <f>ROUND(IF(AQ84="0",BJ84,0),2)</f>
        <v>0</v>
      </c>
      <c r="AI84" s="10" t="s">
        <v>54</v>
      </c>
      <c r="AJ84" s="28">
        <f>IF(AN84=0,K84,0)</f>
        <v>0</v>
      </c>
      <c r="AK84" s="28">
        <f>IF(AN84=12,K84,0)</f>
        <v>0</v>
      </c>
      <c r="AL84" s="28">
        <f>IF(AN84=21,K84,0)</f>
        <v>0</v>
      </c>
      <c r="AN84" s="28">
        <v>21</v>
      </c>
      <c r="AO84" s="28">
        <f>H84*0</f>
        <v>0</v>
      </c>
      <c r="AP84" s="28">
        <f>H84*(1-0)</f>
        <v>0</v>
      </c>
      <c r="AQ84" s="30" t="s">
        <v>80</v>
      </c>
      <c r="AV84" s="28">
        <f>ROUND(AW84+AX84,2)</f>
        <v>0</v>
      </c>
      <c r="AW84" s="28">
        <f>ROUND(G84*AO84,2)</f>
        <v>0</v>
      </c>
      <c r="AX84" s="28">
        <f>ROUND(G84*AP84,2)</f>
        <v>0</v>
      </c>
      <c r="AY84" s="30" t="s">
        <v>237</v>
      </c>
      <c r="AZ84" s="30" t="s">
        <v>202</v>
      </c>
      <c r="BA84" s="10" t="s">
        <v>65</v>
      </c>
      <c r="BC84" s="28">
        <f>AW84+AX84</f>
        <v>0</v>
      </c>
      <c r="BD84" s="28">
        <f>H84/(100-BE84)*100</f>
        <v>0</v>
      </c>
      <c r="BE84" s="28">
        <v>0</v>
      </c>
      <c r="BF84" s="28">
        <f>84</f>
        <v>84</v>
      </c>
      <c r="BH84" s="28">
        <f>G84*AO84</f>
        <v>0</v>
      </c>
      <c r="BI84" s="28">
        <f>G84*AP84</f>
        <v>0</v>
      </c>
      <c r="BJ84" s="28">
        <f>G84*H84</f>
        <v>0</v>
      </c>
      <c r="BK84" s="30" t="s">
        <v>66</v>
      </c>
      <c r="BL84" s="28"/>
      <c r="BW84" s="28">
        <v>21</v>
      </c>
      <c r="BX84" s="4" t="s">
        <v>236</v>
      </c>
    </row>
    <row r="85" spans="1:76" x14ac:dyDescent="0.25">
      <c r="A85" s="24" t="s">
        <v>53</v>
      </c>
      <c r="B85" s="25" t="s">
        <v>54</v>
      </c>
      <c r="C85" s="25" t="s">
        <v>238</v>
      </c>
      <c r="D85" s="83" t="s">
        <v>239</v>
      </c>
      <c r="E85" s="84"/>
      <c r="F85" s="26" t="s">
        <v>18</v>
      </c>
      <c r="G85" s="26" t="s">
        <v>18</v>
      </c>
      <c r="H85" s="26" t="s">
        <v>18</v>
      </c>
      <c r="I85" s="1">
        <f>SUM(I86:I88)</f>
        <v>0</v>
      </c>
      <c r="J85" s="1">
        <f>SUM(J86:J88)</f>
        <v>0</v>
      </c>
      <c r="K85" s="1">
        <f>SUM(K86:K88)</f>
        <v>0</v>
      </c>
      <c r="L85" s="27" t="s">
        <v>53</v>
      </c>
      <c r="AI85" s="10" t="s">
        <v>54</v>
      </c>
      <c r="AS85" s="1">
        <f>SUM(AJ86:AJ88)</f>
        <v>0</v>
      </c>
      <c r="AT85" s="1">
        <f>SUM(AK86:AK88)</f>
        <v>0</v>
      </c>
      <c r="AU85" s="1">
        <f>SUM(AL86:AL88)</f>
        <v>0</v>
      </c>
    </row>
    <row r="86" spans="1:76" x14ac:dyDescent="0.25">
      <c r="A86" s="2" t="s">
        <v>240</v>
      </c>
      <c r="B86" s="3" t="s">
        <v>54</v>
      </c>
      <c r="C86" s="3" t="s">
        <v>241</v>
      </c>
      <c r="D86" s="72" t="s">
        <v>242</v>
      </c>
      <c r="E86" s="67"/>
      <c r="F86" s="3" t="s">
        <v>177</v>
      </c>
      <c r="G86" s="28">
        <v>8</v>
      </c>
      <c r="H86" s="61">
        <v>0</v>
      </c>
      <c r="I86" s="28">
        <f>ROUND(G86*AO86,2)</f>
        <v>0</v>
      </c>
      <c r="J86" s="28">
        <f>ROUND(G86*AP86,2)</f>
        <v>0</v>
      </c>
      <c r="K86" s="28">
        <f>ROUND(G86*H86,2)</f>
        <v>0</v>
      </c>
      <c r="L86" s="29" t="s">
        <v>62</v>
      </c>
      <c r="Z86" s="28">
        <f>ROUND(IF(AQ86="5",BJ86,0),2)</f>
        <v>0</v>
      </c>
      <c r="AB86" s="28">
        <f>ROUND(IF(AQ86="1",BH86,0),2)</f>
        <v>0</v>
      </c>
      <c r="AC86" s="28">
        <f>ROUND(IF(AQ86="1",BI86,0),2)</f>
        <v>0</v>
      </c>
      <c r="AD86" s="28">
        <f>ROUND(IF(AQ86="7",BH86,0),2)</f>
        <v>0</v>
      </c>
      <c r="AE86" s="28">
        <f>ROUND(IF(AQ86="7",BI86,0),2)</f>
        <v>0</v>
      </c>
      <c r="AF86" s="28">
        <f>ROUND(IF(AQ86="2",BH86,0),2)</f>
        <v>0</v>
      </c>
      <c r="AG86" s="28">
        <f>ROUND(IF(AQ86="2",BI86,0),2)</f>
        <v>0</v>
      </c>
      <c r="AH86" s="28">
        <f>ROUND(IF(AQ86="0",BJ86,0),2)</f>
        <v>0</v>
      </c>
      <c r="AI86" s="10" t="s">
        <v>54</v>
      </c>
      <c r="AJ86" s="28">
        <f>IF(AN86=0,K86,0)</f>
        <v>0</v>
      </c>
      <c r="AK86" s="28">
        <f>IF(AN86=12,K86,0)</f>
        <v>0</v>
      </c>
      <c r="AL86" s="28">
        <f>IF(AN86=21,K86,0)</f>
        <v>0</v>
      </c>
      <c r="AN86" s="28">
        <v>21</v>
      </c>
      <c r="AO86" s="28">
        <f>H86*0</f>
        <v>0</v>
      </c>
      <c r="AP86" s="28">
        <f>H86*(1-0)</f>
        <v>0</v>
      </c>
      <c r="AQ86" s="30" t="s">
        <v>69</v>
      </c>
      <c r="AV86" s="28">
        <f>ROUND(AW86+AX86,2)</f>
        <v>0</v>
      </c>
      <c r="AW86" s="28">
        <f>ROUND(G86*AO86,2)</f>
        <v>0</v>
      </c>
      <c r="AX86" s="28">
        <f>ROUND(G86*AP86,2)</f>
        <v>0</v>
      </c>
      <c r="AY86" s="30" t="s">
        <v>243</v>
      </c>
      <c r="AZ86" s="30" t="s">
        <v>202</v>
      </c>
      <c r="BA86" s="10" t="s">
        <v>65</v>
      </c>
      <c r="BC86" s="28">
        <f>AW86+AX86</f>
        <v>0</v>
      </c>
      <c r="BD86" s="28">
        <f>H86/(100-BE86)*100</f>
        <v>0</v>
      </c>
      <c r="BE86" s="28">
        <v>0</v>
      </c>
      <c r="BF86" s="28">
        <f>86</f>
        <v>86</v>
      </c>
      <c r="BH86" s="28">
        <f>G86*AO86</f>
        <v>0</v>
      </c>
      <c r="BI86" s="28">
        <f>G86*AP86</f>
        <v>0</v>
      </c>
      <c r="BJ86" s="28">
        <f>G86*H86</f>
        <v>0</v>
      </c>
      <c r="BK86" s="30" t="s">
        <v>66</v>
      </c>
      <c r="BL86" s="28"/>
      <c r="BW86" s="28">
        <v>21</v>
      </c>
      <c r="BX86" s="4" t="s">
        <v>242</v>
      </c>
    </row>
    <row r="87" spans="1:76" x14ac:dyDescent="0.25">
      <c r="A87" s="2" t="s">
        <v>244</v>
      </c>
      <c r="B87" s="3" t="s">
        <v>54</v>
      </c>
      <c r="C87" s="3" t="s">
        <v>245</v>
      </c>
      <c r="D87" s="72" t="s">
        <v>246</v>
      </c>
      <c r="E87" s="67"/>
      <c r="F87" s="3" t="s">
        <v>177</v>
      </c>
      <c r="G87" s="28">
        <v>8</v>
      </c>
      <c r="H87" s="61">
        <v>0</v>
      </c>
      <c r="I87" s="28">
        <f>ROUND(G87*AO87,2)</f>
        <v>0</v>
      </c>
      <c r="J87" s="28">
        <f>ROUND(G87*AP87,2)</f>
        <v>0</v>
      </c>
      <c r="K87" s="28">
        <f>ROUND(G87*H87,2)</f>
        <v>0</v>
      </c>
      <c r="L87" s="29" t="s">
        <v>62</v>
      </c>
      <c r="Z87" s="28">
        <f>ROUND(IF(AQ87="5",BJ87,0),2)</f>
        <v>0</v>
      </c>
      <c r="AB87" s="28">
        <f>ROUND(IF(AQ87="1",BH87,0),2)</f>
        <v>0</v>
      </c>
      <c r="AC87" s="28">
        <f>ROUND(IF(AQ87="1",BI87,0),2)</f>
        <v>0</v>
      </c>
      <c r="AD87" s="28">
        <f>ROUND(IF(AQ87="7",BH87,0),2)</f>
        <v>0</v>
      </c>
      <c r="AE87" s="28">
        <f>ROUND(IF(AQ87="7",BI87,0),2)</f>
        <v>0</v>
      </c>
      <c r="AF87" s="28">
        <f>ROUND(IF(AQ87="2",BH87,0),2)</f>
        <v>0</v>
      </c>
      <c r="AG87" s="28">
        <f>ROUND(IF(AQ87="2",BI87,0),2)</f>
        <v>0</v>
      </c>
      <c r="AH87" s="28">
        <f>ROUND(IF(AQ87="0",BJ87,0),2)</f>
        <v>0</v>
      </c>
      <c r="AI87" s="10" t="s">
        <v>54</v>
      </c>
      <c r="AJ87" s="28">
        <f>IF(AN87=0,K87,0)</f>
        <v>0</v>
      </c>
      <c r="AK87" s="28">
        <f>IF(AN87=12,K87,0)</f>
        <v>0</v>
      </c>
      <c r="AL87" s="28">
        <f>IF(AN87=21,K87,0)</f>
        <v>0</v>
      </c>
      <c r="AN87" s="28">
        <v>21</v>
      </c>
      <c r="AO87" s="28">
        <f>H87*0</f>
        <v>0</v>
      </c>
      <c r="AP87" s="28">
        <f>H87*(1-0)</f>
        <v>0</v>
      </c>
      <c r="AQ87" s="30" t="s">
        <v>69</v>
      </c>
      <c r="AV87" s="28">
        <f>ROUND(AW87+AX87,2)</f>
        <v>0</v>
      </c>
      <c r="AW87" s="28">
        <f>ROUND(G87*AO87,2)</f>
        <v>0</v>
      </c>
      <c r="AX87" s="28">
        <f>ROUND(G87*AP87,2)</f>
        <v>0</v>
      </c>
      <c r="AY87" s="30" t="s">
        <v>243</v>
      </c>
      <c r="AZ87" s="30" t="s">
        <v>202</v>
      </c>
      <c r="BA87" s="10" t="s">
        <v>65</v>
      </c>
      <c r="BC87" s="28">
        <f>AW87+AX87</f>
        <v>0</v>
      </c>
      <c r="BD87" s="28">
        <f>H87/(100-BE87)*100</f>
        <v>0</v>
      </c>
      <c r="BE87" s="28">
        <v>0</v>
      </c>
      <c r="BF87" s="28">
        <f>87</f>
        <v>87</v>
      </c>
      <c r="BH87" s="28">
        <f>G87*AO87</f>
        <v>0</v>
      </c>
      <c r="BI87" s="28">
        <f>G87*AP87</f>
        <v>0</v>
      </c>
      <c r="BJ87" s="28">
        <f>G87*H87</f>
        <v>0</v>
      </c>
      <c r="BK87" s="30" t="s">
        <v>66</v>
      </c>
      <c r="BL87" s="28"/>
      <c r="BW87" s="28">
        <v>21</v>
      </c>
      <c r="BX87" s="4" t="s">
        <v>246</v>
      </c>
    </row>
    <row r="88" spans="1:76" x14ac:dyDescent="0.25">
      <c r="A88" s="2" t="s">
        <v>247</v>
      </c>
      <c r="B88" s="3" t="s">
        <v>54</v>
      </c>
      <c r="C88" s="3" t="s">
        <v>248</v>
      </c>
      <c r="D88" s="72" t="s">
        <v>249</v>
      </c>
      <c r="E88" s="67"/>
      <c r="F88" s="3" t="s">
        <v>177</v>
      </c>
      <c r="G88" s="28">
        <v>8</v>
      </c>
      <c r="H88" s="61">
        <v>0</v>
      </c>
      <c r="I88" s="28">
        <f>ROUND(G88*AO88,2)</f>
        <v>0</v>
      </c>
      <c r="J88" s="28">
        <f>ROUND(G88*AP88,2)</f>
        <v>0</v>
      </c>
      <c r="K88" s="28">
        <f>ROUND(G88*H88,2)</f>
        <v>0</v>
      </c>
      <c r="L88" s="29" t="s">
        <v>62</v>
      </c>
      <c r="Z88" s="28">
        <f>ROUND(IF(AQ88="5",BJ88,0),2)</f>
        <v>0</v>
      </c>
      <c r="AB88" s="28">
        <f>ROUND(IF(AQ88="1",BH88,0),2)</f>
        <v>0</v>
      </c>
      <c r="AC88" s="28">
        <f>ROUND(IF(AQ88="1",BI88,0),2)</f>
        <v>0</v>
      </c>
      <c r="AD88" s="28">
        <f>ROUND(IF(AQ88="7",BH88,0),2)</f>
        <v>0</v>
      </c>
      <c r="AE88" s="28">
        <f>ROUND(IF(AQ88="7",BI88,0),2)</f>
        <v>0</v>
      </c>
      <c r="AF88" s="28">
        <f>ROUND(IF(AQ88="2",BH88,0),2)</f>
        <v>0</v>
      </c>
      <c r="AG88" s="28">
        <f>ROUND(IF(AQ88="2",BI88,0),2)</f>
        <v>0</v>
      </c>
      <c r="AH88" s="28">
        <f>ROUND(IF(AQ88="0",BJ88,0),2)</f>
        <v>0</v>
      </c>
      <c r="AI88" s="10" t="s">
        <v>54</v>
      </c>
      <c r="AJ88" s="28">
        <f>IF(AN88=0,K88,0)</f>
        <v>0</v>
      </c>
      <c r="AK88" s="28">
        <f>IF(AN88=12,K88,0)</f>
        <v>0</v>
      </c>
      <c r="AL88" s="28">
        <f>IF(AN88=21,K88,0)</f>
        <v>0</v>
      </c>
      <c r="AN88" s="28">
        <v>21</v>
      </c>
      <c r="AO88" s="28">
        <f>H88*0</f>
        <v>0</v>
      </c>
      <c r="AP88" s="28">
        <f>H88*(1-0)</f>
        <v>0</v>
      </c>
      <c r="AQ88" s="30" t="s">
        <v>69</v>
      </c>
      <c r="AV88" s="28">
        <f>ROUND(AW88+AX88,2)</f>
        <v>0</v>
      </c>
      <c r="AW88" s="28">
        <f>ROUND(G88*AO88,2)</f>
        <v>0</v>
      </c>
      <c r="AX88" s="28">
        <f>ROUND(G88*AP88,2)</f>
        <v>0</v>
      </c>
      <c r="AY88" s="30" t="s">
        <v>243</v>
      </c>
      <c r="AZ88" s="30" t="s">
        <v>202</v>
      </c>
      <c r="BA88" s="10" t="s">
        <v>65</v>
      </c>
      <c r="BC88" s="28">
        <f>AW88+AX88</f>
        <v>0</v>
      </c>
      <c r="BD88" s="28">
        <f>H88/(100-BE88)*100</f>
        <v>0</v>
      </c>
      <c r="BE88" s="28">
        <v>0</v>
      </c>
      <c r="BF88" s="28">
        <f>88</f>
        <v>88</v>
      </c>
      <c r="BH88" s="28">
        <f>G88*AO88</f>
        <v>0</v>
      </c>
      <c r="BI88" s="28">
        <f>G88*AP88</f>
        <v>0</v>
      </c>
      <c r="BJ88" s="28">
        <f>G88*H88</f>
        <v>0</v>
      </c>
      <c r="BK88" s="30" t="s">
        <v>66</v>
      </c>
      <c r="BL88" s="28"/>
      <c r="BW88" s="28">
        <v>21</v>
      </c>
      <c r="BX88" s="4" t="s">
        <v>249</v>
      </c>
    </row>
    <row r="89" spans="1:76" x14ac:dyDescent="0.25">
      <c r="A89" s="24" t="s">
        <v>53</v>
      </c>
      <c r="B89" s="25" t="s">
        <v>54</v>
      </c>
      <c r="C89" s="25" t="s">
        <v>250</v>
      </c>
      <c r="D89" s="83" t="s">
        <v>251</v>
      </c>
      <c r="E89" s="84"/>
      <c r="F89" s="26" t="s">
        <v>18</v>
      </c>
      <c r="G89" s="26" t="s">
        <v>18</v>
      </c>
      <c r="H89" s="26" t="s">
        <v>18</v>
      </c>
      <c r="I89" s="1">
        <f>SUM(I90:I90)</f>
        <v>0</v>
      </c>
      <c r="J89" s="1">
        <f>SUM(J90:J90)</f>
        <v>0</v>
      </c>
      <c r="K89" s="1">
        <f>SUM(K90:K90)</f>
        <v>0</v>
      </c>
      <c r="L89" s="27" t="s">
        <v>53</v>
      </c>
      <c r="AI89" s="10" t="s">
        <v>54</v>
      </c>
      <c r="AS89" s="1">
        <f>SUM(AJ90:AJ90)</f>
        <v>0</v>
      </c>
      <c r="AT89" s="1">
        <f>SUM(AK90:AK90)</f>
        <v>0</v>
      </c>
      <c r="AU89" s="1">
        <f>SUM(AL90:AL90)</f>
        <v>0</v>
      </c>
    </row>
    <row r="90" spans="1:76" x14ac:dyDescent="0.25">
      <c r="A90" s="2" t="s">
        <v>252</v>
      </c>
      <c r="B90" s="3" t="s">
        <v>54</v>
      </c>
      <c r="C90" s="3" t="s">
        <v>253</v>
      </c>
      <c r="D90" s="72" t="s">
        <v>254</v>
      </c>
      <c r="E90" s="67"/>
      <c r="F90" s="3" t="s">
        <v>177</v>
      </c>
      <c r="G90" s="28">
        <v>8</v>
      </c>
      <c r="H90" s="61">
        <v>0</v>
      </c>
      <c r="I90" s="28">
        <f>ROUND(G90*AO90,2)</f>
        <v>0</v>
      </c>
      <c r="J90" s="28">
        <f>ROUND(G90*AP90,2)</f>
        <v>0</v>
      </c>
      <c r="K90" s="28">
        <f>ROUND(G90*H90,2)</f>
        <v>0</v>
      </c>
      <c r="L90" s="29" t="s">
        <v>62</v>
      </c>
      <c r="Z90" s="28">
        <f>ROUND(IF(AQ90="5",BJ90,0),2)</f>
        <v>0</v>
      </c>
      <c r="AB90" s="28">
        <f>ROUND(IF(AQ90="1",BH90,0),2)</f>
        <v>0</v>
      </c>
      <c r="AC90" s="28">
        <f>ROUND(IF(AQ90="1",BI90,0),2)</f>
        <v>0</v>
      </c>
      <c r="AD90" s="28">
        <f>ROUND(IF(AQ90="7",BH90,0),2)</f>
        <v>0</v>
      </c>
      <c r="AE90" s="28">
        <f>ROUND(IF(AQ90="7",BI90,0),2)</f>
        <v>0</v>
      </c>
      <c r="AF90" s="28">
        <f>ROUND(IF(AQ90="2",BH90,0),2)</f>
        <v>0</v>
      </c>
      <c r="AG90" s="28">
        <f>ROUND(IF(AQ90="2",BI90,0),2)</f>
        <v>0</v>
      </c>
      <c r="AH90" s="28">
        <f>ROUND(IF(AQ90="0",BJ90,0),2)</f>
        <v>0</v>
      </c>
      <c r="AI90" s="10" t="s">
        <v>54</v>
      </c>
      <c r="AJ90" s="28">
        <f>IF(AN90=0,K90,0)</f>
        <v>0</v>
      </c>
      <c r="AK90" s="28">
        <f>IF(AN90=12,K90,0)</f>
        <v>0</v>
      </c>
      <c r="AL90" s="28">
        <f>IF(AN90=21,K90,0)</f>
        <v>0</v>
      </c>
      <c r="AN90" s="28">
        <v>21</v>
      </c>
      <c r="AO90" s="28">
        <f>H90*0</f>
        <v>0</v>
      </c>
      <c r="AP90" s="28">
        <f>H90*(1-0)</f>
        <v>0</v>
      </c>
      <c r="AQ90" s="30" t="s">
        <v>69</v>
      </c>
      <c r="AV90" s="28">
        <f>ROUND(AW90+AX90,2)</f>
        <v>0</v>
      </c>
      <c r="AW90" s="28">
        <f>ROUND(G90*AO90,2)</f>
        <v>0</v>
      </c>
      <c r="AX90" s="28">
        <f>ROUND(G90*AP90,2)</f>
        <v>0</v>
      </c>
      <c r="AY90" s="30" t="s">
        <v>255</v>
      </c>
      <c r="AZ90" s="30" t="s">
        <v>202</v>
      </c>
      <c r="BA90" s="10" t="s">
        <v>65</v>
      </c>
      <c r="BC90" s="28">
        <f>AW90+AX90</f>
        <v>0</v>
      </c>
      <c r="BD90" s="28">
        <f>H90/(100-BE90)*100</f>
        <v>0</v>
      </c>
      <c r="BE90" s="28">
        <v>0</v>
      </c>
      <c r="BF90" s="28">
        <f>90</f>
        <v>90</v>
      </c>
      <c r="BH90" s="28">
        <f>G90*AO90</f>
        <v>0</v>
      </c>
      <c r="BI90" s="28">
        <f>G90*AP90</f>
        <v>0</v>
      </c>
      <c r="BJ90" s="28">
        <f>G90*H90</f>
        <v>0</v>
      </c>
      <c r="BK90" s="30" t="s">
        <v>66</v>
      </c>
      <c r="BL90" s="28"/>
      <c r="BW90" s="28">
        <v>21</v>
      </c>
      <c r="BX90" s="4" t="s">
        <v>254</v>
      </c>
    </row>
    <row r="91" spans="1:76" x14ac:dyDescent="0.25">
      <c r="A91" s="24" t="s">
        <v>53</v>
      </c>
      <c r="B91" s="25" t="s">
        <v>54</v>
      </c>
      <c r="C91" s="25" t="s">
        <v>256</v>
      </c>
      <c r="D91" s="83" t="s">
        <v>257</v>
      </c>
      <c r="E91" s="84"/>
      <c r="F91" s="26" t="s">
        <v>18</v>
      </c>
      <c r="G91" s="26" t="s">
        <v>18</v>
      </c>
      <c r="H91" s="26" t="s">
        <v>18</v>
      </c>
      <c r="I91" s="1">
        <f>SUM(I92:I101)</f>
        <v>0</v>
      </c>
      <c r="J91" s="1">
        <f>SUM(J92:J101)</f>
        <v>0</v>
      </c>
      <c r="K91" s="1">
        <f>SUM(K92:K101)</f>
        <v>0</v>
      </c>
      <c r="L91" s="27" t="s">
        <v>53</v>
      </c>
      <c r="AI91" s="10" t="s">
        <v>54</v>
      </c>
      <c r="AS91" s="1">
        <f>SUM(AJ92:AJ101)</f>
        <v>0</v>
      </c>
      <c r="AT91" s="1">
        <f>SUM(AK92:AK101)</f>
        <v>0</v>
      </c>
      <c r="AU91" s="1">
        <f>SUM(AL92:AL101)</f>
        <v>0</v>
      </c>
    </row>
    <row r="92" spans="1:76" x14ac:dyDescent="0.25">
      <c r="A92" s="2" t="s">
        <v>258</v>
      </c>
      <c r="B92" s="3" t="s">
        <v>54</v>
      </c>
      <c r="C92" s="3" t="s">
        <v>259</v>
      </c>
      <c r="D92" s="72" t="s">
        <v>260</v>
      </c>
      <c r="E92" s="67"/>
      <c r="F92" s="3" t="s">
        <v>177</v>
      </c>
      <c r="G92" s="28">
        <v>8</v>
      </c>
      <c r="H92" s="61">
        <v>0</v>
      </c>
      <c r="I92" s="28">
        <f>ROUND(G92*AO92,2)</f>
        <v>0</v>
      </c>
      <c r="J92" s="28">
        <f>ROUND(G92*AP92,2)</f>
        <v>0</v>
      </c>
      <c r="K92" s="28">
        <f>ROUND(G92*H92,2)</f>
        <v>0</v>
      </c>
      <c r="L92" s="29" t="s">
        <v>62</v>
      </c>
      <c r="Z92" s="28">
        <f>ROUND(IF(AQ92="5",BJ92,0),2)</f>
        <v>0</v>
      </c>
      <c r="AB92" s="28">
        <f>ROUND(IF(AQ92="1",BH92,0),2)</f>
        <v>0</v>
      </c>
      <c r="AC92" s="28">
        <f>ROUND(IF(AQ92="1",BI92,0),2)</f>
        <v>0</v>
      </c>
      <c r="AD92" s="28">
        <f>ROUND(IF(AQ92="7",BH92,0),2)</f>
        <v>0</v>
      </c>
      <c r="AE92" s="28">
        <f>ROUND(IF(AQ92="7",BI92,0),2)</f>
        <v>0</v>
      </c>
      <c r="AF92" s="28">
        <f>ROUND(IF(AQ92="2",BH92,0),2)</f>
        <v>0</v>
      </c>
      <c r="AG92" s="28">
        <f>ROUND(IF(AQ92="2",BI92,0),2)</f>
        <v>0</v>
      </c>
      <c r="AH92" s="28">
        <f>ROUND(IF(AQ92="0",BJ92,0),2)</f>
        <v>0</v>
      </c>
      <c r="AI92" s="10" t="s">
        <v>54</v>
      </c>
      <c r="AJ92" s="28">
        <f>IF(AN92=0,K92,0)</f>
        <v>0</v>
      </c>
      <c r="AK92" s="28">
        <f>IF(AN92=12,K92,0)</f>
        <v>0</v>
      </c>
      <c r="AL92" s="28">
        <f>IF(AN92=21,K92,0)</f>
        <v>0</v>
      </c>
      <c r="AN92" s="28">
        <v>21</v>
      </c>
      <c r="AO92" s="28">
        <f>H92*0</f>
        <v>0</v>
      </c>
      <c r="AP92" s="28">
        <f>H92*(1-0)</f>
        <v>0</v>
      </c>
      <c r="AQ92" s="30" t="s">
        <v>69</v>
      </c>
      <c r="AV92" s="28">
        <f>ROUND(AW92+AX92,2)</f>
        <v>0</v>
      </c>
      <c r="AW92" s="28">
        <f>ROUND(G92*AO92,2)</f>
        <v>0</v>
      </c>
      <c r="AX92" s="28">
        <f>ROUND(G92*AP92,2)</f>
        <v>0</v>
      </c>
      <c r="AY92" s="30" t="s">
        <v>261</v>
      </c>
      <c r="AZ92" s="30" t="s">
        <v>202</v>
      </c>
      <c r="BA92" s="10" t="s">
        <v>65</v>
      </c>
      <c r="BC92" s="28">
        <f>AW92+AX92</f>
        <v>0</v>
      </c>
      <c r="BD92" s="28">
        <f>H92/(100-BE92)*100</f>
        <v>0</v>
      </c>
      <c r="BE92" s="28">
        <v>0</v>
      </c>
      <c r="BF92" s="28">
        <f>92</f>
        <v>92</v>
      </c>
      <c r="BH92" s="28">
        <f>G92*AO92</f>
        <v>0</v>
      </c>
      <c r="BI92" s="28">
        <f>G92*AP92</f>
        <v>0</v>
      </c>
      <c r="BJ92" s="28">
        <f>G92*H92</f>
        <v>0</v>
      </c>
      <c r="BK92" s="30" t="s">
        <v>66</v>
      </c>
      <c r="BL92" s="28"/>
      <c r="BW92" s="28">
        <v>21</v>
      </c>
      <c r="BX92" s="4" t="s">
        <v>260</v>
      </c>
    </row>
    <row r="93" spans="1:76" ht="13.5" customHeight="1" x14ac:dyDescent="0.25">
      <c r="A93" s="31"/>
      <c r="C93" s="32" t="s">
        <v>67</v>
      </c>
      <c r="D93" s="92" t="s">
        <v>262</v>
      </c>
      <c r="E93" s="93"/>
      <c r="F93" s="93"/>
      <c r="G93" s="93"/>
      <c r="H93" s="93"/>
      <c r="I93" s="93"/>
      <c r="J93" s="93"/>
      <c r="K93" s="93"/>
      <c r="L93" s="94"/>
    </row>
    <row r="94" spans="1:76" x14ac:dyDescent="0.25">
      <c r="A94" s="2" t="s">
        <v>263</v>
      </c>
      <c r="B94" s="3" t="s">
        <v>54</v>
      </c>
      <c r="C94" s="3" t="s">
        <v>264</v>
      </c>
      <c r="D94" s="72" t="s">
        <v>265</v>
      </c>
      <c r="E94" s="67"/>
      <c r="F94" s="3" t="s">
        <v>72</v>
      </c>
      <c r="G94" s="28">
        <v>90</v>
      </c>
      <c r="H94" s="61">
        <v>0</v>
      </c>
      <c r="I94" s="28">
        <f>ROUND(G94*AO94,2)</f>
        <v>0</v>
      </c>
      <c r="J94" s="28">
        <f>ROUND(G94*AP94,2)</f>
        <v>0</v>
      </c>
      <c r="K94" s="28">
        <f>ROUND(G94*H94,2)</f>
        <v>0</v>
      </c>
      <c r="L94" s="29" t="s">
        <v>62</v>
      </c>
      <c r="Z94" s="28">
        <f>ROUND(IF(AQ94="5",BJ94,0),2)</f>
        <v>0</v>
      </c>
      <c r="AB94" s="28">
        <f>ROUND(IF(AQ94="1",BH94,0),2)</f>
        <v>0</v>
      </c>
      <c r="AC94" s="28">
        <f>ROUND(IF(AQ94="1",BI94,0),2)</f>
        <v>0</v>
      </c>
      <c r="AD94" s="28">
        <f>ROUND(IF(AQ94="7",BH94,0),2)</f>
        <v>0</v>
      </c>
      <c r="AE94" s="28">
        <f>ROUND(IF(AQ94="7",BI94,0),2)</f>
        <v>0</v>
      </c>
      <c r="AF94" s="28">
        <f>ROUND(IF(AQ94="2",BH94,0),2)</f>
        <v>0</v>
      </c>
      <c r="AG94" s="28">
        <f>ROUND(IF(AQ94="2",BI94,0),2)</f>
        <v>0</v>
      </c>
      <c r="AH94" s="28">
        <f>ROUND(IF(AQ94="0",BJ94,0),2)</f>
        <v>0</v>
      </c>
      <c r="AI94" s="10" t="s">
        <v>54</v>
      </c>
      <c r="AJ94" s="28">
        <f>IF(AN94=0,K94,0)</f>
        <v>0</v>
      </c>
      <c r="AK94" s="28">
        <f>IF(AN94=12,K94,0)</f>
        <v>0</v>
      </c>
      <c r="AL94" s="28">
        <f>IF(AN94=21,K94,0)</f>
        <v>0</v>
      </c>
      <c r="AN94" s="28">
        <v>21</v>
      </c>
      <c r="AO94" s="28">
        <f>H94*0</f>
        <v>0</v>
      </c>
      <c r="AP94" s="28">
        <f>H94*(1-0)</f>
        <v>0</v>
      </c>
      <c r="AQ94" s="30" t="s">
        <v>69</v>
      </c>
      <c r="AV94" s="28">
        <f>ROUND(AW94+AX94,2)</f>
        <v>0</v>
      </c>
      <c r="AW94" s="28">
        <f>ROUND(G94*AO94,2)</f>
        <v>0</v>
      </c>
      <c r="AX94" s="28">
        <f>ROUND(G94*AP94,2)</f>
        <v>0</v>
      </c>
      <c r="AY94" s="30" t="s">
        <v>261</v>
      </c>
      <c r="AZ94" s="30" t="s">
        <v>202</v>
      </c>
      <c r="BA94" s="10" t="s">
        <v>65</v>
      </c>
      <c r="BC94" s="28">
        <f>AW94+AX94</f>
        <v>0</v>
      </c>
      <c r="BD94" s="28">
        <f>H94/(100-BE94)*100</f>
        <v>0</v>
      </c>
      <c r="BE94" s="28">
        <v>0</v>
      </c>
      <c r="BF94" s="28">
        <f>94</f>
        <v>94</v>
      </c>
      <c r="BH94" s="28">
        <f>G94*AO94</f>
        <v>0</v>
      </c>
      <c r="BI94" s="28">
        <f>G94*AP94</f>
        <v>0</v>
      </c>
      <c r="BJ94" s="28">
        <f>G94*H94</f>
        <v>0</v>
      </c>
      <c r="BK94" s="30" t="s">
        <v>66</v>
      </c>
      <c r="BL94" s="28"/>
      <c r="BW94" s="28">
        <v>21</v>
      </c>
      <c r="BX94" s="4" t="s">
        <v>265</v>
      </c>
    </row>
    <row r="95" spans="1:76" x14ac:dyDescent="0.25">
      <c r="A95" s="2" t="s">
        <v>266</v>
      </c>
      <c r="B95" s="3" t="s">
        <v>54</v>
      </c>
      <c r="C95" s="3" t="s">
        <v>267</v>
      </c>
      <c r="D95" s="72" t="s">
        <v>268</v>
      </c>
      <c r="E95" s="67"/>
      <c r="F95" s="3" t="s">
        <v>72</v>
      </c>
      <c r="G95" s="28">
        <v>85</v>
      </c>
      <c r="H95" s="61">
        <v>0</v>
      </c>
      <c r="I95" s="28">
        <f>ROUND(G95*AO95,2)</f>
        <v>0</v>
      </c>
      <c r="J95" s="28">
        <f>ROUND(G95*AP95,2)</f>
        <v>0</v>
      </c>
      <c r="K95" s="28">
        <f>ROUND(G95*H95,2)</f>
        <v>0</v>
      </c>
      <c r="L95" s="29" t="s">
        <v>62</v>
      </c>
      <c r="Z95" s="28">
        <f>ROUND(IF(AQ95="5",BJ95,0),2)</f>
        <v>0</v>
      </c>
      <c r="AB95" s="28">
        <f>ROUND(IF(AQ95="1",BH95,0),2)</f>
        <v>0</v>
      </c>
      <c r="AC95" s="28">
        <f>ROUND(IF(AQ95="1",BI95,0),2)</f>
        <v>0</v>
      </c>
      <c r="AD95" s="28">
        <f>ROUND(IF(AQ95="7",BH95,0),2)</f>
        <v>0</v>
      </c>
      <c r="AE95" s="28">
        <f>ROUND(IF(AQ95="7",BI95,0),2)</f>
        <v>0</v>
      </c>
      <c r="AF95" s="28">
        <f>ROUND(IF(AQ95="2",BH95,0),2)</f>
        <v>0</v>
      </c>
      <c r="AG95" s="28">
        <f>ROUND(IF(AQ95="2",BI95,0),2)</f>
        <v>0</v>
      </c>
      <c r="AH95" s="28">
        <f>ROUND(IF(AQ95="0",BJ95,0),2)</f>
        <v>0</v>
      </c>
      <c r="AI95" s="10" t="s">
        <v>54</v>
      </c>
      <c r="AJ95" s="28">
        <f>IF(AN95=0,K95,0)</f>
        <v>0</v>
      </c>
      <c r="AK95" s="28">
        <f>IF(AN95=12,K95,0)</f>
        <v>0</v>
      </c>
      <c r="AL95" s="28">
        <f>IF(AN95=21,K95,0)</f>
        <v>0</v>
      </c>
      <c r="AN95" s="28">
        <v>21</v>
      </c>
      <c r="AO95" s="28">
        <f>H95*0</f>
        <v>0</v>
      </c>
      <c r="AP95" s="28">
        <f>H95*(1-0)</f>
        <v>0</v>
      </c>
      <c r="AQ95" s="30" t="s">
        <v>69</v>
      </c>
      <c r="AV95" s="28">
        <f>ROUND(AW95+AX95,2)</f>
        <v>0</v>
      </c>
      <c r="AW95" s="28">
        <f>ROUND(G95*AO95,2)</f>
        <v>0</v>
      </c>
      <c r="AX95" s="28">
        <f>ROUND(G95*AP95,2)</f>
        <v>0</v>
      </c>
      <c r="AY95" s="30" t="s">
        <v>261</v>
      </c>
      <c r="AZ95" s="30" t="s">
        <v>202</v>
      </c>
      <c r="BA95" s="10" t="s">
        <v>65</v>
      </c>
      <c r="BC95" s="28">
        <f>AW95+AX95</f>
        <v>0</v>
      </c>
      <c r="BD95" s="28">
        <f>H95/(100-BE95)*100</f>
        <v>0</v>
      </c>
      <c r="BE95" s="28">
        <v>0</v>
      </c>
      <c r="BF95" s="28">
        <f>95</f>
        <v>95</v>
      </c>
      <c r="BH95" s="28">
        <f>G95*AO95</f>
        <v>0</v>
      </c>
      <c r="BI95" s="28">
        <f>G95*AP95</f>
        <v>0</v>
      </c>
      <c r="BJ95" s="28">
        <f>G95*H95</f>
        <v>0</v>
      </c>
      <c r="BK95" s="30" t="s">
        <v>66</v>
      </c>
      <c r="BL95" s="28"/>
      <c r="BW95" s="28">
        <v>21</v>
      </c>
      <c r="BX95" s="4" t="s">
        <v>268</v>
      </c>
    </row>
    <row r="96" spans="1:76" x14ac:dyDescent="0.25">
      <c r="A96" s="2" t="s">
        <v>269</v>
      </c>
      <c r="B96" s="3" t="s">
        <v>54</v>
      </c>
      <c r="C96" s="3" t="s">
        <v>270</v>
      </c>
      <c r="D96" s="72" t="s">
        <v>271</v>
      </c>
      <c r="E96" s="67"/>
      <c r="F96" s="3" t="s">
        <v>177</v>
      </c>
      <c r="G96" s="28">
        <v>8</v>
      </c>
      <c r="H96" s="61">
        <v>0</v>
      </c>
      <c r="I96" s="28">
        <f>ROUND(G96*AO96,2)</f>
        <v>0</v>
      </c>
      <c r="J96" s="28">
        <f>ROUND(G96*AP96,2)</f>
        <v>0</v>
      </c>
      <c r="K96" s="28">
        <f>ROUND(G96*H96,2)</f>
        <v>0</v>
      </c>
      <c r="L96" s="29" t="s">
        <v>62</v>
      </c>
      <c r="Z96" s="28">
        <f>ROUND(IF(AQ96="5",BJ96,0),2)</f>
        <v>0</v>
      </c>
      <c r="AB96" s="28">
        <f>ROUND(IF(AQ96="1",BH96,0),2)</f>
        <v>0</v>
      </c>
      <c r="AC96" s="28">
        <f>ROUND(IF(AQ96="1",BI96,0),2)</f>
        <v>0</v>
      </c>
      <c r="AD96" s="28">
        <f>ROUND(IF(AQ96="7",BH96,0),2)</f>
        <v>0</v>
      </c>
      <c r="AE96" s="28">
        <f>ROUND(IF(AQ96="7",BI96,0),2)</f>
        <v>0</v>
      </c>
      <c r="AF96" s="28">
        <f>ROUND(IF(AQ96="2",BH96,0),2)</f>
        <v>0</v>
      </c>
      <c r="AG96" s="28">
        <f>ROUND(IF(AQ96="2",BI96,0),2)</f>
        <v>0</v>
      </c>
      <c r="AH96" s="28">
        <f>ROUND(IF(AQ96="0",BJ96,0),2)</f>
        <v>0</v>
      </c>
      <c r="AI96" s="10" t="s">
        <v>54</v>
      </c>
      <c r="AJ96" s="28">
        <f>IF(AN96=0,K96,0)</f>
        <v>0</v>
      </c>
      <c r="AK96" s="28">
        <f>IF(AN96=12,K96,0)</f>
        <v>0</v>
      </c>
      <c r="AL96" s="28">
        <f>IF(AN96=21,K96,0)</f>
        <v>0</v>
      </c>
      <c r="AN96" s="28">
        <v>21</v>
      </c>
      <c r="AO96" s="28">
        <f>H96*0</f>
        <v>0</v>
      </c>
      <c r="AP96" s="28">
        <f>H96*(1-0)</f>
        <v>0</v>
      </c>
      <c r="AQ96" s="30" t="s">
        <v>69</v>
      </c>
      <c r="AV96" s="28">
        <f>ROUND(AW96+AX96,2)</f>
        <v>0</v>
      </c>
      <c r="AW96" s="28">
        <f>ROUND(G96*AO96,2)</f>
        <v>0</v>
      </c>
      <c r="AX96" s="28">
        <f>ROUND(G96*AP96,2)</f>
        <v>0</v>
      </c>
      <c r="AY96" s="30" t="s">
        <v>261</v>
      </c>
      <c r="AZ96" s="30" t="s">
        <v>202</v>
      </c>
      <c r="BA96" s="10" t="s">
        <v>65</v>
      </c>
      <c r="BC96" s="28">
        <f>AW96+AX96</f>
        <v>0</v>
      </c>
      <c r="BD96" s="28">
        <f>H96/(100-BE96)*100</f>
        <v>0</v>
      </c>
      <c r="BE96" s="28">
        <v>0</v>
      </c>
      <c r="BF96" s="28">
        <f>96</f>
        <v>96</v>
      </c>
      <c r="BH96" s="28">
        <f>G96*AO96</f>
        <v>0</v>
      </c>
      <c r="BI96" s="28">
        <f>G96*AP96</f>
        <v>0</v>
      </c>
      <c r="BJ96" s="28">
        <f>G96*H96</f>
        <v>0</v>
      </c>
      <c r="BK96" s="30" t="s">
        <v>66</v>
      </c>
      <c r="BL96" s="28"/>
      <c r="BW96" s="28">
        <v>21</v>
      </c>
      <c r="BX96" s="4" t="s">
        <v>271</v>
      </c>
    </row>
    <row r="97" spans="1:76" x14ac:dyDescent="0.25">
      <c r="A97" s="2" t="s">
        <v>272</v>
      </c>
      <c r="B97" s="3" t="s">
        <v>54</v>
      </c>
      <c r="C97" s="3" t="s">
        <v>273</v>
      </c>
      <c r="D97" s="72" t="s">
        <v>274</v>
      </c>
      <c r="E97" s="67"/>
      <c r="F97" s="3" t="s">
        <v>61</v>
      </c>
      <c r="G97" s="28">
        <v>180</v>
      </c>
      <c r="H97" s="61">
        <v>0</v>
      </c>
      <c r="I97" s="28">
        <f>ROUND(G97*AO97,2)</f>
        <v>0</v>
      </c>
      <c r="J97" s="28">
        <f>ROUND(G97*AP97,2)</f>
        <v>0</v>
      </c>
      <c r="K97" s="28">
        <f>ROUND(G97*H97,2)</f>
        <v>0</v>
      </c>
      <c r="L97" s="29" t="s">
        <v>62</v>
      </c>
      <c r="Z97" s="28">
        <f>ROUND(IF(AQ97="5",BJ97,0),2)</f>
        <v>0</v>
      </c>
      <c r="AB97" s="28">
        <f>ROUND(IF(AQ97="1",BH97,0),2)</f>
        <v>0</v>
      </c>
      <c r="AC97" s="28">
        <f>ROUND(IF(AQ97="1",BI97,0),2)</f>
        <v>0</v>
      </c>
      <c r="AD97" s="28">
        <f>ROUND(IF(AQ97="7",BH97,0),2)</f>
        <v>0</v>
      </c>
      <c r="AE97" s="28">
        <f>ROUND(IF(AQ97="7",BI97,0),2)</f>
        <v>0</v>
      </c>
      <c r="AF97" s="28">
        <f>ROUND(IF(AQ97="2",BH97,0),2)</f>
        <v>0</v>
      </c>
      <c r="AG97" s="28">
        <f>ROUND(IF(AQ97="2",BI97,0),2)</f>
        <v>0</v>
      </c>
      <c r="AH97" s="28">
        <f>ROUND(IF(AQ97="0",BJ97,0),2)</f>
        <v>0</v>
      </c>
      <c r="AI97" s="10" t="s">
        <v>54</v>
      </c>
      <c r="AJ97" s="28">
        <f>IF(AN97=0,K97,0)</f>
        <v>0</v>
      </c>
      <c r="AK97" s="28">
        <f>IF(AN97=12,K97,0)</f>
        <v>0</v>
      </c>
      <c r="AL97" s="28">
        <f>IF(AN97=21,K97,0)</f>
        <v>0</v>
      </c>
      <c r="AN97" s="28">
        <v>21</v>
      </c>
      <c r="AO97" s="28">
        <f>H97*0.110572554</f>
        <v>0</v>
      </c>
      <c r="AP97" s="28">
        <f>H97*(1-0.110572554)</f>
        <v>0</v>
      </c>
      <c r="AQ97" s="30" t="s">
        <v>69</v>
      </c>
      <c r="AV97" s="28">
        <f>ROUND(AW97+AX97,2)</f>
        <v>0</v>
      </c>
      <c r="AW97" s="28">
        <f>ROUND(G97*AO97,2)</f>
        <v>0</v>
      </c>
      <c r="AX97" s="28">
        <f>ROUND(G97*AP97,2)</f>
        <v>0</v>
      </c>
      <c r="AY97" s="30" t="s">
        <v>261</v>
      </c>
      <c r="AZ97" s="30" t="s">
        <v>202</v>
      </c>
      <c r="BA97" s="10" t="s">
        <v>65</v>
      </c>
      <c r="BC97" s="28">
        <f>AW97+AX97</f>
        <v>0</v>
      </c>
      <c r="BD97" s="28">
        <f>H97/(100-BE97)*100</f>
        <v>0</v>
      </c>
      <c r="BE97" s="28">
        <v>0</v>
      </c>
      <c r="BF97" s="28">
        <f>97</f>
        <v>97</v>
      </c>
      <c r="BH97" s="28">
        <f>G97*AO97</f>
        <v>0</v>
      </c>
      <c r="BI97" s="28">
        <f>G97*AP97</f>
        <v>0</v>
      </c>
      <c r="BJ97" s="28">
        <f>G97*H97</f>
        <v>0</v>
      </c>
      <c r="BK97" s="30" t="s">
        <v>66</v>
      </c>
      <c r="BL97" s="28"/>
      <c r="BW97" s="28">
        <v>21</v>
      </c>
      <c r="BX97" s="4" t="s">
        <v>274</v>
      </c>
    </row>
    <row r="98" spans="1:76" ht="13.5" customHeight="1" x14ac:dyDescent="0.25">
      <c r="A98" s="31"/>
      <c r="C98" s="32" t="s">
        <v>67</v>
      </c>
      <c r="D98" s="92" t="s">
        <v>275</v>
      </c>
      <c r="E98" s="93"/>
      <c r="F98" s="93"/>
      <c r="G98" s="93"/>
      <c r="H98" s="93"/>
      <c r="I98" s="93"/>
      <c r="J98" s="93"/>
      <c r="K98" s="93"/>
      <c r="L98" s="94"/>
    </row>
    <row r="99" spans="1:76" x14ac:dyDescent="0.25">
      <c r="A99" s="2" t="s">
        <v>276</v>
      </c>
      <c r="B99" s="3" t="s">
        <v>54</v>
      </c>
      <c r="C99" s="3" t="s">
        <v>277</v>
      </c>
      <c r="D99" s="72" t="s">
        <v>278</v>
      </c>
      <c r="E99" s="67"/>
      <c r="F99" s="3" t="s">
        <v>91</v>
      </c>
      <c r="G99" s="28">
        <v>530</v>
      </c>
      <c r="H99" s="61">
        <v>0</v>
      </c>
      <c r="I99" s="28">
        <f>ROUND(G99*AO99,2)</f>
        <v>0</v>
      </c>
      <c r="J99" s="28">
        <f>ROUND(G99*AP99,2)</f>
        <v>0</v>
      </c>
      <c r="K99" s="28">
        <f>ROUND(G99*H99,2)</f>
        <v>0</v>
      </c>
      <c r="L99" s="29" t="s">
        <v>62</v>
      </c>
      <c r="Z99" s="28">
        <f>ROUND(IF(AQ99="5",BJ99,0),2)</f>
        <v>0</v>
      </c>
      <c r="AB99" s="28">
        <f>ROUND(IF(AQ99="1",BH99,0),2)</f>
        <v>0</v>
      </c>
      <c r="AC99" s="28">
        <f>ROUND(IF(AQ99="1",BI99,0),2)</f>
        <v>0</v>
      </c>
      <c r="AD99" s="28">
        <f>ROUND(IF(AQ99="7",BH99,0),2)</f>
        <v>0</v>
      </c>
      <c r="AE99" s="28">
        <f>ROUND(IF(AQ99="7",BI99,0),2)</f>
        <v>0</v>
      </c>
      <c r="AF99" s="28">
        <f>ROUND(IF(AQ99="2",BH99,0),2)</f>
        <v>0</v>
      </c>
      <c r="AG99" s="28">
        <f>ROUND(IF(AQ99="2",BI99,0),2)</f>
        <v>0</v>
      </c>
      <c r="AH99" s="28">
        <f>ROUND(IF(AQ99="0",BJ99,0),2)</f>
        <v>0</v>
      </c>
      <c r="AI99" s="10" t="s">
        <v>54</v>
      </c>
      <c r="AJ99" s="28">
        <f>IF(AN99=0,K99,0)</f>
        <v>0</v>
      </c>
      <c r="AK99" s="28">
        <f>IF(AN99=12,K99,0)</f>
        <v>0</v>
      </c>
      <c r="AL99" s="28">
        <f>IF(AN99=21,K99,0)</f>
        <v>0</v>
      </c>
      <c r="AN99" s="28">
        <v>21</v>
      </c>
      <c r="AO99" s="28">
        <f>H99*0</f>
        <v>0</v>
      </c>
      <c r="AP99" s="28">
        <f>H99*(1-0)</f>
        <v>0</v>
      </c>
      <c r="AQ99" s="30" t="s">
        <v>69</v>
      </c>
      <c r="AV99" s="28">
        <f>ROUND(AW99+AX99,2)</f>
        <v>0</v>
      </c>
      <c r="AW99" s="28">
        <f>ROUND(G99*AO99,2)</f>
        <v>0</v>
      </c>
      <c r="AX99" s="28">
        <f>ROUND(G99*AP99,2)</f>
        <v>0</v>
      </c>
      <c r="AY99" s="30" t="s">
        <v>261</v>
      </c>
      <c r="AZ99" s="30" t="s">
        <v>202</v>
      </c>
      <c r="BA99" s="10" t="s">
        <v>65</v>
      </c>
      <c r="BC99" s="28">
        <f>AW99+AX99</f>
        <v>0</v>
      </c>
      <c r="BD99" s="28">
        <f>H99/(100-BE99)*100</f>
        <v>0</v>
      </c>
      <c r="BE99" s="28">
        <v>0</v>
      </c>
      <c r="BF99" s="28">
        <f>99</f>
        <v>99</v>
      </c>
      <c r="BH99" s="28">
        <f>G99*AO99</f>
        <v>0</v>
      </c>
      <c r="BI99" s="28">
        <f>G99*AP99</f>
        <v>0</v>
      </c>
      <c r="BJ99" s="28">
        <f>G99*H99</f>
        <v>0</v>
      </c>
      <c r="BK99" s="30" t="s">
        <v>66</v>
      </c>
      <c r="BL99" s="28"/>
      <c r="BW99" s="28">
        <v>21</v>
      </c>
      <c r="BX99" s="4" t="s">
        <v>278</v>
      </c>
    </row>
    <row r="100" spans="1:76" ht="13.5" customHeight="1" x14ac:dyDescent="0.25">
      <c r="A100" s="31"/>
      <c r="C100" s="32" t="s">
        <v>67</v>
      </c>
      <c r="D100" s="92" t="s">
        <v>279</v>
      </c>
      <c r="E100" s="93"/>
      <c r="F100" s="93"/>
      <c r="G100" s="93"/>
      <c r="H100" s="93"/>
      <c r="I100" s="93"/>
      <c r="J100" s="93"/>
      <c r="K100" s="93"/>
      <c r="L100" s="94"/>
    </row>
    <row r="101" spans="1:76" x14ac:dyDescent="0.25">
      <c r="A101" s="2" t="s">
        <v>280</v>
      </c>
      <c r="B101" s="3" t="s">
        <v>54</v>
      </c>
      <c r="C101" s="3" t="s">
        <v>281</v>
      </c>
      <c r="D101" s="72" t="s">
        <v>282</v>
      </c>
      <c r="E101" s="67"/>
      <c r="F101" s="3" t="s">
        <v>72</v>
      </c>
      <c r="G101" s="28">
        <v>100</v>
      </c>
      <c r="H101" s="61">
        <v>0</v>
      </c>
      <c r="I101" s="28">
        <f>ROUND(G101*AO101,2)</f>
        <v>0</v>
      </c>
      <c r="J101" s="28">
        <f>ROUND(G101*AP101,2)</f>
        <v>0</v>
      </c>
      <c r="K101" s="28">
        <f>ROUND(G101*H101,2)</f>
        <v>0</v>
      </c>
      <c r="L101" s="29" t="s">
        <v>62</v>
      </c>
      <c r="Z101" s="28">
        <f>ROUND(IF(AQ101="5",BJ101,0),2)</f>
        <v>0</v>
      </c>
      <c r="AB101" s="28">
        <f>ROUND(IF(AQ101="1",BH101,0),2)</f>
        <v>0</v>
      </c>
      <c r="AC101" s="28">
        <f>ROUND(IF(AQ101="1",BI101,0),2)</f>
        <v>0</v>
      </c>
      <c r="AD101" s="28">
        <f>ROUND(IF(AQ101="7",BH101,0),2)</f>
        <v>0</v>
      </c>
      <c r="AE101" s="28">
        <f>ROUND(IF(AQ101="7",BI101,0),2)</f>
        <v>0</v>
      </c>
      <c r="AF101" s="28">
        <f>ROUND(IF(AQ101="2",BH101,0),2)</f>
        <v>0</v>
      </c>
      <c r="AG101" s="28">
        <f>ROUND(IF(AQ101="2",BI101,0),2)</f>
        <v>0</v>
      </c>
      <c r="AH101" s="28">
        <f>ROUND(IF(AQ101="0",BJ101,0),2)</f>
        <v>0</v>
      </c>
      <c r="AI101" s="10" t="s">
        <v>54</v>
      </c>
      <c r="AJ101" s="28">
        <f>IF(AN101=0,K101,0)</f>
        <v>0</v>
      </c>
      <c r="AK101" s="28">
        <f>IF(AN101=12,K101,0)</f>
        <v>0</v>
      </c>
      <c r="AL101" s="28">
        <f>IF(AN101=21,K101,0)</f>
        <v>0</v>
      </c>
      <c r="AN101" s="28">
        <v>21</v>
      </c>
      <c r="AO101" s="28">
        <f>H101*0</f>
        <v>0</v>
      </c>
      <c r="AP101" s="28">
        <f>H101*(1-0)</f>
        <v>0</v>
      </c>
      <c r="AQ101" s="30" t="s">
        <v>69</v>
      </c>
      <c r="AV101" s="28">
        <f>ROUND(AW101+AX101,2)</f>
        <v>0</v>
      </c>
      <c r="AW101" s="28">
        <f>ROUND(G101*AO101,2)</f>
        <v>0</v>
      </c>
      <c r="AX101" s="28">
        <f>ROUND(G101*AP101,2)</f>
        <v>0</v>
      </c>
      <c r="AY101" s="30" t="s">
        <v>261</v>
      </c>
      <c r="AZ101" s="30" t="s">
        <v>202</v>
      </c>
      <c r="BA101" s="10" t="s">
        <v>65</v>
      </c>
      <c r="BC101" s="28">
        <f>AW101+AX101</f>
        <v>0</v>
      </c>
      <c r="BD101" s="28">
        <f>H101/(100-BE101)*100</f>
        <v>0</v>
      </c>
      <c r="BE101" s="28">
        <v>0</v>
      </c>
      <c r="BF101" s="28">
        <f>101</f>
        <v>101</v>
      </c>
      <c r="BH101" s="28">
        <f>G101*AO101</f>
        <v>0</v>
      </c>
      <c r="BI101" s="28">
        <f>G101*AP101</f>
        <v>0</v>
      </c>
      <c r="BJ101" s="28">
        <f>G101*H101</f>
        <v>0</v>
      </c>
      <c r="BK101" s="30" t="s">
        <v>66</v>
      </c>
      <c r="BL101" s="28"/>
      <c r="BW101" s="28">
        <v>21</v>
      </c>
      <c r="BX101" s="4" t="s">
        <v>282</v>
      </c>
    </row>
    <row r="102" spans="1:76" x14ac:dyDescent="0.25">
      <c r="A102" s="24" t="s">
        <v>53</v>
      </c>
      <c r="B102" s="25" t="s">
        <v>54</v>
      </c>
      <c r="C102" s="25" t="s">
        <v>283</v>
      </c>
      <c r="D102" s="83" t="s">
        <v>284</v>
      </c>
      <c r="E102" s="84"/>
      <c r="F102" s="26" t="s">
        <v>18</v>
      </c>
      <c r="G102" s="26" t="s">
        <v>18</v>
      </c>
      <c r="H102" s="26" t="s">
        <v>18</v>
      </c>
      <c r="I102" s="1">
        <f>SUM(I103:I109)</f>
        <v>0</v>
      </c>
      <c r="J102" s="1">
        <f>SUM(J103:J109)</f>
        <v>0</v>
      </c>
      <c r="K102" s="1">
        <f>SUM(K103:K109)</f>
        <v>0</v>
      </c>
      <c r="L102" s="27" t="s">
        <v>53</v>
      </c>
      <c r="AI102" s="10" t="s">
        <v>54</v>
      </c>
      <c r="AS102" s="1">
        <f>SUM(AJ103:AJ109)</f>
        <v>0</v>
      </c>
      <c r="AT102" s="1">
        <f>SUM(AK103:AK109)</f>
        <v>0</v>
      </c>
      <c r="AU102" s="1">
        <f>SUM(AL103:AL109)</f>
        <v>0</v>
      </c>
    </row>
    <row r="103" spans="1:76" x14ac:dyDescent="0.25">
      <c r="A103" s="2" t="s">
        <v>285</v>
      </c>
      <c r="B103" s="3" t="s">
        <v>54</v>
      </c>
      <c r="C103" s="3" t="s">
        <v>286</v>
      </c>
      <c r="D103" s="72" t="s">
        <v>287</v>
      </c>
      <c r="E103" s="67"/>
      <c r="F103" s="3" t="s">
        <v>72</v>
      </c>
      <c r="G103" s="28">
        <v>90</v>
      </c>
      <c r="H103" s="61">
        <v>0</v>
      </c>
      <c r="I103" s="28">
        <f>ROUND(G103*AO103,2)</f>
        <v>0</v>
      </c>
      <c r="J103" s="28">
        <f>ROUND(G103*AP103,2)</f>
        <v>0</v>
      </c>
      <c r="K103" s="28">
        <f>ROUND(G103*H103,2)</f>
        <v>0</v>
      </c>
      <c r="L103" s="29" t="s">
        <v>62</v>
      </c>
      <c r="Z103" s="28">
        <f>ROUND(IF(AQ103="5",BJ103,0),2)</f>
        <v>0</v>
      </c>
      <c r="AB103" s="28">
        <f>ROUND(IF(AQ103="1",BH103,0),2)</f>
        <v>0</v>
      </c>
      <c r="AC103" s="28">
        <f>ROUND(IF(AQ103="1",BI103,0),2)</f>
        <v>0</v>
      </c>
      <c r="AD103" s="28">
        <f>ROUND(IF(AQ103="7",BH103,0),2)</f>
        <v>0</v>
      </c>
      <c r="AE103" s="28">
        <f>ROUND(IF(AQ103="7",BI103,0),2)</f>
        <v>0</v>
      </c>
      <c r="AF103" s="28">
        <f>ROUND(IF(AQ103="2",BH103,0),2)</f>
        <v>0</v>
      </c>
      <c r="AG103" s="28">
        <f>ROUND(IF(AQ103="2",BI103,0),2)</f>
        <v>0</v>
      </c>
      <c r="AH103" s="28">
        <f>ROUND(IF(AQ103="0",BJ103,0),2)</f>
        <v>0</v>
      </c>
      <c r="AI103" s="10" t="s">
        <v>54</v>
      </c>
      <c r="AJ103" s="28">
        <f>IF(AN103=0,K103,0)</f>
        <v>0</v>
      </c>
      <c r="AK103" s="28">
        <f>IF(AN103=12,K103,0)</f>
        <v>0</v>
      </c>
      <c r="AL103" s="28">
        <f>IF(AN103=21,K103,0)</f>
        <v>0</v>
      </c>
      <c r="AN103" s="28">
        <v>21</v>
      </c>
      <c r="AO103" s="28">
        <f>H103*0.79420373</f>
        <v>0</v>
      </c>
      <c r="AP103" s="28">
        <f>H103*(1-0.79420373)</f>
        <v>0</v>
      </c>
      <c r="AQ103" s="30" t="s">
        <v>69</v>
      </c>
      <c r="AV103" s="28">
        <f>ROUND(AW103+AX103,2)</f>
        <v>0</v>
      </c>
      <c r="AW103" s="28">
        <f>ROUND(G103*AO103,2)</f>
        <v>0</v>
      </c>
      <c r="AX103" s="28">
        <f>ROUND(G103*AP103,2)</f>
        <v>0</v>
      </c>
      <c r="AY103" s="30" t="s">
        <v>288</v>
      </c>
      <c r="AZ103" s="30" t="s">
        <v>202</v>
      </c>
      <c r="BA103" s="10" t="s">
        <v>65</v>
      </c>
      <c r="BC103" s="28">
        <f>AW103+AX103</f>
        <v>0</v>
      </c>
      <c r="BD103" s="28">
        <f>H103/(100-BE103)*100</f>
        <v>0</v>
      </c>
      <c r="BE103" s="28">
        <v>0</v>
      </c>
      <c r="BF103" s="28">
        <f>103</f>
        <v>103</v>
      </c>
      <c r="BH103" s="28">
        <f>G103*AO103</f>
        <v>0</v>
      </c>
      <c r="BI103" s="28">
        <f>G103*AP103</f>
        <v>0</v>
      </c>
      <c r="BJ103" s="28">
        <f>G103*H103</f>
        <v>0</v>
      </c>
      <c r="BK103" s="30" t="s">
        <v>66</v>
      </c>
      <c r="BL103" s="28"/>
      <c r="BW103" s="28">
        <v>21</v>
      </c>
      <c r="BX103" s="4" t="s">
        <v>287</v>
      </c>
    </row>
    <row r="104" spans="1:76" ht="13.5" customHeight="1" x14ac:dyDescent="0.25">
      <c r="A104" s="31"/>
      <c r="C104" s="32" t="s">
        <v>67</v>
      </c>
      <c r="D104" s="92" t="s">
        <v>289</v>
      </c>
      <c r="E104" s="93"/>
      <c r="F104" s="93"/>
      <c r="G104" s="93"/>
      <c r="H104" s="93"/>
      <c r="I104" s="93"/>
      <c r="J104" s="93"/>
      <c r="K104" s="93"/>
      <c r="L104" s="94"/>
    </row>
    <row r="105" spans="1:76" x14ac:dyDescent="0.25">
      <c r="A105" s="2" t="s">
        <v>290</v>
      </c>
      <c r="B105" s="3" t="s">
        <v>54</v>
      </c>
      <c r="C105" s="3" t="s">
        <v>291</v>
      </c>
      <c r="D105" s="72" t="s">
        <v>292</v>
      </c>
      <c r="E105" s="67"/>
      <c r="F105" s="3" t="s">
        <v>177</v>
      </c>
      <c r="G105" s="28">
        <v>8</v>
      </c>
      <c r="H105" s="61">
        <v>0</v>
      </c>
      <c r="I105" s="28">
        <f>ROUND(G105*AO105,2)</f>
        <v>0</v>
      </c>
      <c r="J105" s="28">
        <f>ROUND(G105*AP105,2)</f>
        <v>0</v>
      </c>
      <c r="K105" s="28">
        <f>ROUND(G105*H105,2)</f>
        <v>0</v>
      </c>
      <c r="L105" s="29" t="s">
        <v>62</v>
      </c>
      <c r="Z105" s="28">
        <f>ROUND(IF(AQ105="5",BJ105,0),2)</f>
        <v>0</v>
      </c>
      <c r="AB105" s="28">
        <f>ROUND(IF(AQ105="1",BH105,0),2)</f>
        <v>0</v>
      </c>
      <c r="AC105" s="28">
        <f>ROUND(IF(AQ105="1",BI105,0),2)</f>
        <v>0</v>
      </c>
      <c r="AD105" s="28">
        <f>ROUND(IF(AQ105="7",BH105,0),2)</f>
        <v>0</v>
      </c>
      <c r="AE105" s="28">
        <f>ROUND(IF(AQ105="7",BI105,0),2)</f>
        <v>0</v>
      </c>
      <c r="AF105" s="28">
        <f>ROUND(IF(AQ105="2",BH105,0),2)</f>
        <v>0</v>
      </c>
      <c r="AG105" s="28">
        <f>ROUND(IF(AQ105="2",BI105,0),2)</f>
        <v>0</v>
      </c>
      <c r="AH105" s="28">
        <f>ROUND(IF(AQ105="0",BJ105,0),2)</f>
        <v>0</v>
      </c>
      <c r="AI105" s="10" t="s">
        <v>54</v>
      </c>
      <c r="AJ105" s="28">
        <f>IF(AN105=0,K105,0)</f>
        <v>0</v>
      </c>
      <c r="AK105" s="28">
        <f>IF(AN105=12,K105,0)</f>
        <v>0</v>
      </c>
      <c r="AL105" s="28">
        <f>IF(AN105=21,K105,0)</f>
        <v>0</v>
      </c>
      <c r="AN105" s="28">
        <v>21</v>
      </c>
      <c r="AO105" s="28">
        <f>H105*0</f>
        <v>0</v>
      </c>
      <c r="AP105" s="28">
        <f>H105*(1-0)</f>
        <v>0</v>
      </c>
      <c r="AQ105" s="30" t="s">
        <v>69</v>
      </c>
      <c r="AV105" s="28">
        <f>ROUND(AW105+AX105,2)</f>
        <v>0</v>
      </c>
      <c r="AW105" s="28">
        <f>ROUND(G105*AO105,2)</f>
        <v>0</v>
      </c>
      <c r="AX105" s="28">
        <f>ROUND(G105*AP105,2)</f>
        <v>0</v>
      </c>
      <c r="AY105" s="30" t="s">
        <v>288</v>
      </c>
      <c r="AZ105" s="30" t="s">
        <v>202</v>
      </c>
      <c r="BA105" s="10" t="s">
        <v>65</v>
      </c>
      <c r="BC105" s="28">
        <f>AW105+AX105</f>
        <v>0</v>
      </c>
      <c r="BD105" s="28">
        <f>H105/(100-BE105)*100</f>
        <v>0</v>
      </c>
      <c r="BE105" s="28">
        <v>0</v>
      </c>
      <c r="BF105" s="28">
        <f>105</f>
        <v>105</v>
      </c>
      <c r="BH105" s="28">
        <f>G105*AO105</f>
        <v>0</v>
      </c>
      <c r="BI105" s="28">
        <f>G105*AP105</f>
        <v>0</v>
      </c>
      <c r="BJ105" s="28">
        <f>G105*H105</f>
        <v>0</v>
      </c>
      <c r="BK105" s="30" t="s">
        <v>66</v>
      </c>
      <c r="BL105" s="28"/>
      <c r="BW105" s="28">
        <v>21</v>
      </c>
      <c r="BX105" s="4" t="s">
        <v>292</v>
      </c>
    </row>
    <row r="106" spans="1:76" x14ac:dyDescent="0.25">
      <c r="A106" s="2" t="s">
        <v>293</v>
      </c>
      <c r="B106" s="3" t="s">
        <v>54</v>
      </c>
      <c r="C106" s="3" t="s">
        <v>294</v>
      </c>
      <c r="D106" s="72" t="s">
        <v>295</v>
      </c>
      <c r="E106" s="67"/>
      <c r="F106" s="3" t="s">
        <v>177</v>
      </c>
      <c r="G106" s="28">
        <v>2</v>
      </c>
      <c r="H106" s="61">
        <v>0</v>
      </c>
      <c r="I106" s="28">
        <f>ROUND(G106*AO106,2)</f>
        <v>0</v>
      </c>
      <c r="J106" s="28">
        <f>ROUND(G106*AP106,2)</f>
        <v>0</v>
      </c>
      <c r="K106" s="28">
        <f>ROUND(G106*H106,2)</f>
        <v>0</v>
      </c>
      <c r="L106" s="29" t="s">
        <v>62</v>
      </c>
      <c r="Z106" s="28">
        <f>ROUND(IF(AQ106="5",BJ106,0),2)</f>
        <v>0</v>
      </c>
      <c r="AB106" s="28">
        <f>ROUND(IF(AQ106="1",BH106,0),2)</f>
        <v>0</v>
      </c>
      <c r="AC106" s="28">
        <f>ROUND(IF(AQ106="1",BI106,0),2)</f>
        <v>0</v>
      </c>
      <c r="AD106" s="28">
        <f>ROUND(IF(AQ106="7",BH106,0),2)</f>
        <v>0</v>
      </c>
      <c r="AE106" s="28">
        <f>ROUND(IF(AQ106="7",BI106,0),2)</f>
        <v>0</v>
      </c>
      <c r="AF106" s="28">
        <f>ROUND(IF(AQ106="2",BH106,0),2)</f>
        <v>0</v>
      </c>
      <c r="AG106" s="28">
        <f>ROUND(IF(AQ106="2",BI106,0),2)</f>
        <v>0</v>
      </c>
      <c r="AH106" s="28">
        <f>ROUND(IF(AQ106="0",BJ106,0),2)</f>
        <v>0</v>
      </c>
      <c r="AI106" s="10" t="s">
        <v>54</v>
      </c>
      <c r="AJ106" s="28">
        <f>IF(AN106=0,K106,0)</f>
        <v>0</v>
      </c>
      <c r="AK106" s="28">
        <f>IF(AN106=12,K106,0)</f>
        <v>0</v>
      </c>
      <c r="AL106" s="28">
        <f>IF(AN106=21,K106,0)</f>
        <v>0</v>
      </c>
      <c r="AN106" s="28">
        <v>21</v>
      </c>
      <c r="AO106" s="28">
        <f>H106*0</f>
        <v>0</v>
      </c>
      <c r="AP106" s="28">
        <f>H106*(1-0)</f>
        <v>0</v>
      </c>
      <c r="AQ106" s="30" t="s">
        <v>69</v>
      </c>
      <c r="AV106" s="28">
        <f>ROUND(AW106+AX106,2)</f>
        <v>0</v>
      </c>
      <c r="AW106" s="28">
        <f>ROUND(G106*AO106,2)</f>
        <v>0</v>
      </c>
      <c r="AX106" s="28">
        <f>ROUND(G106*AP106,2)</f>
        <v>0</v>
      </c>
      <c r="AY106" s="30" t="s">
        <v>288</v>
      </c>
      <c r="AZ106" s="30" t="s">
        <v>202</v>
      </c>
      <c r="BA106" s="10" t="s">
        <v>65</v>
      </c>
      <c r="BC106" s="28">
        <f>AW106+AX106</f>
        <v>0</v>
      </c>
      <c r="BD106" s="28">
        <f>H106/(100-BE106)*100</f>
        <v>0</v>
      </c>
      <c r="BE106" s="28">
        <v>0</v>
      </c>
      <c r="BF106" s="28">
        <f>106</f>
        <v>106</v>
      </c>
      <c r="BH106" s="28">
        <f>G106*AO106</f>
        <v>0</v>
      </c>
      <c r="BI106" s="28">
        <f>G106*AP106</f>
        <v>0</v>
      </c>
      <c r="BJ106" s="28">
        <f>G106*H106</f>
        <v>0</v>
      </c>
      <c r="BK106" s="30" t="s">
        <v>66</v>
      </c>
      <c r="BL106" s="28"/>
      <c r="BW106" s="28">
        <v>21</v>
      </c>
      <c r="BX106" s="4" t="s">
        <v>295</v>
      </c>
    </row>
    <row r="107" spans="1:76" x14ac:dyDescent="0.25">
      <c r="A107" s="2" t="s">
        <v>296</v>
      </c>
      <c r="B107" s="3" t="s">
        <v>54</v>
      </c>
      <c r="C107" s="3" t="s">
        <v>297</v>
      </c>
      <c r="D107" s="72" t="s">
        <v>298</v>
      </c>
      <c r="E107" s="67"/>
      <c r="F107" s="3" t="s">
        <v>177</v>
      </c>
      <c r="G107" s="28">
        <v>1</v>
      </c>
      <c r="H107" s="61">
        <v>0</v>
      </c>
      <c r="I107" s="28">
        <f>ROUND(G107*AO107,2)</f>
        <v>0</v>
      </c>
      <c r="J107" s="28">
        <f>ROUND(G107*AP107,2)</f>
        <v>0</v>
      </c>
      <c r="K107" s="28">
        <f>ROUND(G107*H107,2)</f>
        <v>0</v>
      </c>
      <c r="L107" s="29" t="s">
        <v>62</v>
      </c>
      <c r="Z107" s="28">
        <f>ROUND(IF(AQ107="5",BJ107,0),2)</f>
        <v>0</v>
      </c>
      <c r="AB107" s="28">
        <f>ROUND(IF(AQ107="1",BH107,0),2)</f>
        <v>0</v>
      </c>
      <c r="AC107" s="28">
        <f>ROUND(IF(AQ107="1",BI107,0),2)</f>
        <v>0</v>
      </c>
      <c r="AD107" s="28">
        <f>ROUND(IF(AQ107="7",BH107,0),2)</f>
        <v>0</v>
      </c>
      <c r="AE107" s="28">
        <f>ROUND(IF(AQ107="7",BI107,0),2)</f>
        <v>0</v>
      </c>
      <c r="AF107" s="28">
        <f>ROUND(IF(AQ107="2",BH107,0),2)</f>
        <v>0</v>
      </c>
      <c r="AG107" s="28">
        <f>ROUND(IF(AQ107="2",BI107,0),2)</f>
        <v>0</v>
      </c>
      <c r="AH107" s="28">
        <f>ROUND(IF(AQ107="0",BJ107,0),2)</f>
        <v>0</v>
      </c>
      <c r="AI107" s="10" t="s">
        <v>54</v>
      </c>
      <c r="AJ107" s="28">
        <f>IF(AN107=0,K107,0)</f>
        <v>0</v>
      </c>
      <c r="AK107" s="28">
        <f>IF(AN107=12,K107,0)</f>
        <v>0</v>
      </c>
      <c r="AL107" s="28">
        <f>IF(AN107=21,K107,0)</f>
        <v>0</v>
      </c>
      <c r="AN107" s="28">
        <v>21</v>
      </c>
      <c r="AO107" s="28">
        <f>H107*0</f>
        <v>0</v>
      </c>
      <c r="AP107" s="28">
        <f>H107*(1-0)</f>
        <v>0</v>
      </c>
      <c r="AQ107" s="30" t="s">
        <v>69</v>
      </c>
      <c r="AV107" s="28">
        <f>ROUND(AW107+AX107,2)</f>
        <v>0</v>
      </c>
      <c r="AW107" s="28">
        <f>ROUND(G107*AO107,2)</f>
        <v>0</v>
      </c>
      <c r="AX107" s="28">
        <f>ROUND(G107*AP107,2)</f>
        <v>0</v>
      </c>
      <c r="AY107" s="30" t="s">
        <v>288</v>
      </c>
      <c r="AZ107" s="30" t="s">
        <v>202</v>
      </c>
      <c r="BA107" s="10" t="s">
        <v>65</v>
      </c>
      <c r="BC107" s="28">
        <f>AW107+AX107</f>
        <v>0</v>
      </c>
      <c r="BD107" s="28">
        <f>H107/(100-BE107)*100</f>
        <v>0</v>
      </c>
      <c r="BE107" s="28">
        <v>0</v>
      </c>
      <c r="BF107" s="28">
        <f>107</f>
        <v>107</v>
      </c>
      <c r="BH107" s="28">
        <f>G107*AO107</f>
        <v>0</v>
      </c>
      <c r="BI107" s="28">
        <f>G107*AP107</f>
        <v>0</v>
      </c>
      <c r="BJ107" s="28">
        <f>G107*H107</f>
        <v>0</v>
      </c>
      <c r="BK107" s="30" t="s">
        <v>66</v>
      </c>
      <c r="BL107" s="28"/>
      <c r="BW107" s="28">
        <v>21</v>
      </c>
      <c r="BX107" s="4" t="s">
        <v>298</v>
      </c>
    </row>
    <row r="108" spans="1:76" x14ac:dyDescent="0.25">
      <c r="A108" s="2" t="s">
        <v>299</v>
      </c>
      <c r="B108" s="3" t="s">
        <v>54</v>
      </c>
      <c r="C108" s="3" t="s">
        <v>300</v>
      </c>
      <c r="D108" s="72" t="s">
        <v>301</v>
      </c>
      <c r="E108" s="67"/>
      <c r="F108" s="3" t="s">
        <v>177</v>
      </c>
      <c r="G108" s="28">
        <v>8</v>
      </c>
      <c r="H108" s="61">
        <v>0</v>
      </c>
      <c r="I108" s="28">
        <f>ROUND(G108*AO108,2)</f>
        <v>0</v>
      </c>
      <c r="J108" s="28">
        <f>ROUND(G108*AP108,2)</f>
        <v>0</v>
      </c>
      <c r="K108" s="28">
        <f>ROUND(G108*H108,2)</f>
        <v>0</v>
      </c>
      <c r="L108" s="29" t="s">
        <v>62</v>
      </c>
      <c r="Z108" s="28">
        <f>ROUND(IF(AQ108="5",BJ108,0),2)</f>
        <v>0</v>
      </c>
      <c r="AB108" s="28">
        <f>ROUND(IF(AQ108="1",BH108,0),2)</f>
        <v>0</v>
      </c>
      <c r="AC108" s="28">
        <f>ROUND(IF(AQ108="1",BI108,0),2)</f>
        <v>0</v>
      </c>
      <c r="AD108" s="28">
        <f>ROUND(IF(AQ108="7",BH108,0),2)</f>
        <v>0</v>
      </c>
      <c r="AE108" s="28">
        <f>ROUND(IF(AQ108="7",BI108,0),2)</f>
        <v>0</v>
      </c>
      <c r="AF108" s="28">
        <f>ROUND(IF(AQ108="2",BH108,0),2)</f>
        <v>0</v>
      </c>
      <c r="AG108" s="28">
        <f>ROUND(IF(AQ108="2",BI108,0),2)</f>
        <v>0</v>
      </c>
      <c r="AH108" s="28">
        <f>ROUND(IF(AQ108="0",BJ108,0),2)</f>
        <v>0</v>
      </c>
      <c r="AI108" s="10" t="s">
        <v>54</v>
      </c>
      <c r="AJ108" s="28">
        <f>IF(AN108=0,K108,0)</f>
        <v>0</v>
      </c>
      <c r="AK108" s="28">
        <f>IF(AN108=12,K108,0)</f>
        <v>0</v>
      </c>
      <c r="AL108" s="28">
        <f>IF(AN108=21,K108,0)</f>
        <v>0</v>
      </c>
      <c r="AN108" s="28">
        <v>21</v>
      </c>
      <c r="AO108" s="28">
        <f>H108*0</f>
        <v>0</v>
      </c>
      <c r="AP108" s="28">
        <f>H108*(1-0)</f>
        <v>0</v>
      </c>
      <c r="AQ108" s="30" t="s">
        <v>69</v>
      </c>
      <c r="AV108" s="28">
        <f>ROUND(AW108+AX108,2)</f>
        <v>0</v>
      </c>
      <c r="AW108" s="28">
        <f>ROUND(G108*AO108,2)</f>
        <v>0</v>
      </c>
      <c r="AX108" s="28">
        <f>ROUND(G108*AP108,2)</f>
        <v>0</v>
      </c>
      <c r="AY108" s="30" t="s">
        <v>288</v>
      </c>
      <c r="AZ108" s="30" t="s">
        <v>202</v>
      </c>
      <c r="BA108" s="10" t="s">
        <v>65</v>
      </c>
      <c r="BC108" s="28">
        <f>AW108+AX108</f>
        <v>0</v>
      </c>
      <c r="BD108" s="28">
        <f>H108/(100-BE108)*100</f>
        <v>0</v>
      </c>
      <c r="BE108" s="28">
        <v>0</v>
      </c>
      <c r="BF108" s="28">
        <f>108</f>
        <v>108</v>
      </c>
      <c r="BH108" s="28">
        <f>G108*AO108</f>
        <v>0</v>
      </c>
      <c r="BI108" s="28">
        <f>G108*AP108</f>
        <v>0</v>
      </c>
      <c r="BJ108" s="28">
        <f>G108*H108</f>
        <v>0</v>
      </c>
      <c r="BK108" s="30" t="s">
        <v>66</v>
      </c>
      <c r="BL108" s="28"/>
      <c r="BW108" s="28">
        <v>21</v>
      </c>
      <c r="BX108" s="4" t="s">
        <v>301</v>
      </c>
    </row>
    <row r="109" spans="1:76" x14ac:dyDescent="0.25">
      <c r="A109" s="2" t="s">
        <v>302</v>
      </c>
      <c r="B109" s="3" t="s">
        <v>54</v>
      </c>
      <c r="C109" s="3" t="s">
        <v>303</v>
      </c>
      <c r="D109" s="72" t="s">
        <v>304</v>
      </c>
      <c r="E109" s="67"/>
      <c r="F109" s="3" t="s">
        <v>177</v>
      </c>
      <c r="G109" s="28">
        <v>8</v>
      </c>
      <c r="H109" s="61">
        <v>0</v>
      </c>
      <c r="I109" s="28">
        <f>ROUND(G109*AO109,2)</f>
        <v>0</v>
      </c>
      <c r="J109" s="28">
        <f>ROUND(G109*AP109,2)</f>
        <v>0</v>
      </c>
      <c r="K109" s="28">
        <f>ROUND(G109*H109,2)</f>
        <v>0</v>
      </c>
      <c r="L109" s="29" t="s">
        <v>62</v>
      </c>
      <c r="Z109" s="28">
        <f>ROUND(IF(AQ109="5",BJ109,0),2)</f>
        <v>0</v>
      </c>
      <c r="AB109" s="28">
        <f>ROUND(IF(AQ109="1",BH109,0),2)</f>
        <v>0</v>
      </c>
      <c r="AC109" s="28">
        <f>ROUND(IF(AQ109="1",BI109,0),2)</f>
        <v>0</v>
      </c>
      <c r="AD109" s="28">
        <f>ROUND(IF(AQ109="7",BH109,0),2)</f>
        <v>0</v>
      </c>
      <c r="AE109" s="28">
        <f>ROUND(IF(AQ109="7",BI109,0),2)</f>
        <v>0</v>
      </c>
      <c r="AF109" s="28">
        <f>ROUND(IF(AQ109="2",BH109,0),2)</f>
        <v>0</v>
      </c>
      <c r="AG109" s="28">
        <f>ROUND(IF(AQ109="2",BI109,0),2)</f>
        <v>0</v>
      </c>
      <c r="AH109" s="28">
        <f>ROUND(IF(AQ109="0",BJ109,0),2)</f>
        <v>0</v>
      </c>
      <c r="AI109" s="10" t="s">
        <v>54</v>
      </c>
      <c r="AJ109" s="28">
        <f>IF(AN109=0,K109,0)</f>
        <v>0</v>
      </c>
      <c r="AK109" s="28">
        <f>IF(AN109=12,K109,0)</f>
        <v>0</v>
      </c>
      <c r="AL109" s="28">
        <f>IF(AN109=21,K109,0)</f>
        <v>0</v>
      </c>
      <c r="AN109" s="28">
        <v>21</v>
      </c>
      <c r="AO109" s="28">
        <f>H109*0</f>
        <v>0</v>
      </c>
      <c r="AP109" s="28">
        <f>H109*(1-0)</f>
        <v>0</v>
      </c>
      <c r="AQ109" s="30" t="s">
        <v>69</v>
      </c>
      <c r="AV109" s="28">
        <f>ROUND(AW109+AX109,2)</f>
        <v>0</v>
      </c>
      <c r="AW109" s="28">
        <f>ROUND(G109*AO109,2)</f>
        <v>0</v>
      </c>
      <c r="AX109" s="28">
        <f>ROUND(G109*AP109,2)</f>
        <v>0</v>
      </c>
      <c r="AY109" s="30" t="s">
        <v>288</v>
      </c>
      <c r="AZ109" s="30" t="s">
        <v>202</v>
      </c>
      <c r="BA109" s="10" t="s">
        <v>65</v>
      </c>
      <c r="BC109" s="28">
        <f>AW109+AX109</f>
        <v>0</v>
      </c>
      <c r="BD109" s="28">
        <f>H109/(100-BE109)*100</f>
        <v>0</v>
      </c>
      <c r="BE109" s="28">
        <v>0</v>
      </c>
      <c r="BF109" s="28">
        <f>109</f>
        <v>109</v>
      </c>
      <c r="BH109" s="28">
        <f>G109*AO109</f>
        <v>0</v>
      </c>
      <c r="BI109" s="28">
        <f>G109*AP109</f>
        <v>0</v>
      </c>
      <c r="BJ109" s="28">
        <f>G109*H109</f>
        <v>0</v>
      </c>
      <c r="BK109" s="30" t="s">
        <v>66</v>
      </c>
      <c r="BL109" s="28"/>
      <c r="BW109" s="28">
        <v>21</v>
      </c>
      <c r="BX109" s="4" t="s">
        <v>304</v>
      </c>
    </row>
    <row r="110" spans="1:76" x14ac:dyDescent="0.25">
      <c r="A110" s="24" t="s">
        <v>53</v>
      </c>
      <c r="B110" s="25" t="s">
        <v>54</v>
      </c>
      <c r="C110" s="25" t="s">
        <v>305</v>
      </c>
      <c r="D110" s="83" t="s">
        <v>306</v>
      </c>
      <c r="E110" s="84"/>
      <c r="F110" s="26" t="s">
        <v>18</v>
      </c>
      <c r="G110" s="26" t="s">
        <v>18</v>
      </c>
      <c r="H110" s="26" t="s">
        <v>18</v>
      </c>
      <c r="I110" s="1">
        <f>SUM(I111:I115)</f>
        <v>0</v>
      </c>
      <c r="J110" s="1">
        <f>SUM(J111:J115)</f>
        <v>0</v>
      </c>
      <c r="K110" s="1">
        <f>SUM(K111:K115)</f>
        <v>0</v>
      </c>
      <c r="L110" s="27" t="s">
        <v>53</v>
      </c>
      <c r="AI110" s="10" t="s">
        <v>54</v>
      </c>
      <c r="AS110" s="1">
        <f>SUM(AJ111:AJ115)</f>
        <v>0</v>
      </c>
      <c r="AT110" s="1">
        <f>SUM(AK111:AK115)</f>
        <v>0</v>
      </c>
      <c r="AU110" s="1">
        <f>SUM(AL111:AL115)</f>
        <v>0</v>
      </c>
    </row>
    <row r="111" spans="1:76" ht="25.5" x14ac:dyDescent="0.25">
      <c r="A111" s="2" t="s">
        <v>134</v>
      </c>
      <c r="B111" s="3" t="s">
        <v>54</v>
      </c>
      <c r="C111" s="3" t="s">
        <v>307</v>
      </c>
      <c r="D111" s="72" t="s">
        <v>308</v>
      </c>
      <c r="E111" s="67"/>
      <c r="F111" s="3" t="s">
        <v>225</v>
      </c>
      <c r="G111" s="28">
        <v>9</v>
      </c>
      <c r="H111" s="61">
        <v>0</v>
      </c>
      <c r="I111" s="28">
        <f>ROUND(G111*AO111,2)</f>
        <v>0</v>
      </c>
      <c r="J111" s="28">
        <f>ROUND(G111*AP111,2)</f>
        <v>0</v>
      </c>
      <c r="K111" s="28">
        <f>ROUND(G111*H111,2)</f>
        <v>0</v>
      </c>
      <c r="L111" s="29" t="s">
        <v>62</v>
      </c>
      <c r="Z111" s="28">
        <f>ROUND(IF(AQ111="5",BJ111,0),2)</f>
        <v>0</v>
      </c>
      <c r="AB111" s="28">
        <f>ROUND(IF(AQ111="1",BH111,0),2)</f>
        <v>0</v>
      </c>
      <c r="AC111" s="28">
        <f>ROUND(IF(AQ111="1",BI111,0),2)</f>
        <v>0</v>
      </c>
      <c r="AD111" s="28">
        <f>ROUND(IF(AQ111="7",BH111,0),2)</f>
        <v>0</v>
      </c>
      <c r="AE111" s="28">
        <f>ROUND(IF(AQ111="7",BI111,0),2)</f>
        <v>0</v>
      </c>
      <c r="AF111" s="28">
        <f>ROUND(IF(AQ111="2",BH111,0),2)</f>
        <v>0</v>
      </c>
      <c r="AG111" s="28">
        <f>ROUND(IF(AQ111="2",BI111,0),2)</f>
        <v>0</v>
      </c>
      <c r="AH111" s="28">
        <f>ROUND(IF(AQ111="0",BJ111,0),2)</f>
        <v>0</v>
      </c>
      <c r="AI111" s="10" t="s">
        <v>54</v>
      </c>
      <c r="AJ111" s="28">
        <f>IF(AN111=0,K111,0)</f>
        <v>0</v>
      </c>
      <c r="AK111" s="28">
        <f>IF(AN111=12,K111,0)</f>
        <v>0</v>
      </c>
      <c r="AL111" s="28">
        <f>IF(AN111=21,K111,0)</f>
        <v>0</v>
      </c>
      <c r="AN111" s="28">
        <v>21</v>
      </c>
      <c r="AO111" s="28">
        <f>H111*0</f>
        <v>0</v>
      </c>
      <c r="AP111" s="28">
        <f>H111*(1-0)</f>
        <v>0</v>
      </c>
      <c r="AQ111" s="30" t="s">
        <v>80</v>
      </c>
      <c r="AV111" s="28">
        <f>ROUND(AW111+AX111,2)</f>
        <v>0</v>
      </c>
      <c r="AW111" s="28">
        <f>ROUND(G111*AO111,2)</f>
        <v>0</v>
      </c>
      <c r="AX111" s="28">
        <f>ROUND(G111*AP111,2)</f>
        <v>0</v>
      </c>
      <c r="AY111" s="30" t="s">
        <v>309</v>
      </c>
      <c r="AZ111" s="30" t="s">
        <v>202</v>
      </c>
      <c r="BA111" s="10" t="s">
        <v>65</v>
      </c>
      <c r="BC111" s="28">
        <f>AW111+AX111</f>
        <v>0</v>
      </c>
      <c r="BD111" s="28">
        <f>H111/(100-BE111)*100</f>
        <v>0</v>
      </c>
      <c r="BE111" s="28">
        <v>0</v>
      </c>
      <c r="BF111" s="28">
        <f>111</f>
        <v>111</v>
      </c>
      <c r="BH111" s="28">
        <f>G111*AO111</f>
        <v>0</v>
      </c>
      <c r="BI111" s="28">
        <f>G111*AP111</f>
        <v>0</v>
      </c>
      <c r="BJ111" s="28">
        <f>G111*H111</f>
        <v>0</v>
      </c>
      <c r="BK111" s="30" t="s">
        <v>66</v>
      </c>
      <c r="BL111" s="28"/>
      <c r="BW111" s="28">
        <v>21</v>
      </c>
      <c r="BX111" s="4" t="s">
        <v>308</v>
      </c>
    </row>
    <row r="112" spans="1:76" x14ac:dyDescent="0.25">
      <c r="A112" s="2" t="s">
        <v>148</v>
      </c>
      <c r="B112" s="3" t="s">
        <v>54</v>
      </c>
      <c r="C112" s="3" t="s">
        <v>310</v>
      </c>
      <c r="D112" s="72" t="s">
        <v>311</v>
      </c>
      <c r="E112" s="67"/>
      <c r="F112" s="3" t="s">
        <v>225</v>
      </c>
      <c r="G112" s="28">
        <v>1080</v>
      </c>
      <c r="H112" s="61">
        <v>0</v>
      </c>
      <c r="I112" s="28">
        <f>ROUND(G112*AO112,2)</f>
        <v>0</v>
      </c>
      <c r="J112" s="28">
        <f>ROUND(G112*AP112,2)</f>
        <v>0</v>
      </c>
      <c r="K112" s="28">
        <f>ROUND(G112*H112,2)</f>
        <v>0</v>
      </c>
      <c r="L112" s="29" t="s">
        <v>62</v>
      </c>
      <c r="Z112" s="28">
        <f>ROUND(IF(AQ112="5",BJ112,0),2)</f>
        <v>0</v>
      </c>
      <c r="AB112" s="28">
        <f>ROUND(IF(AQ112="1",BH112,0),2)</f>
        <v>0</v>
      </c>
      <c r="AC112" s="28">
        <f>ROUND(IF(AQ112="1",BI112,0),2)</f>
        <v>0</v>
      </c>
      <c r="AD112" s="28">
        <f>ROUND(IF(AQ112="7",BH112,0),2)</f>
        <v>0</v>
      </c>
      <c r="AE112" s="28">
        <f>ROUND(IF(AQ112="7",BI112,0),2)</f>
        <v>0</v>
      </c>
      <c r="AF112" s="28">
        <f>ROUND(IF(AQ112="2",BH112,0),2)</f>
        <v>0</v>
      </c>
      <c r="AG112" s="28">
        <f>ROUND(IF(AQ112="2",BI112,0),2)</f>
        <v>0</v>
      </c>
      <c r="AH112" s="28">
        <f>ROUND(IF(AQ112="0",BJ112,0),2)</f>
        <v>0</v>
      </c>
      <c r="AI112" s="10" t="s">
        <v>54</v>
      </c>
      <c r="AJ112" s="28">
        <f>IF(AN112=0,K112,0)</f>
        <v>0</v>
      </c>
      <c r="AK112" s="28">
        <f>IF(AN112=12,K112,0)</f>
        <v>0</v>
      </c>
      <c r="AL112" s="28">
        <f>IF(AN112=21,K112,0)</f>
        <v>0</v>
      </c>
      <c r="AN112" s="28">
        <v>21</v>
      </c>
      <c r="AO112" s="28">
        <f>H112*0</f>
        <v>0</v>
      </c>
      <c r="AP112" s="28">
        <f>H112*(1-0)</f>
        <v>0</v>
      </c>
      <c r="AQ112" s="30" t="s">
        <v>80</v>
      </c>
      <c r="AV112" s="28">
        <f>ROUND(AW112+AX112,2)</f>
        <v>0</v>
      </c>
      <c r="AW112" s="28">
        <f>ROUND(G112*AO112,2)</f>
        <v>0</v>
      </c>
      <c r="AX112" s="28">
        <f>ROUND(G112*AP112,2)</f>
        <v>0</v>
      </c>
      <c r="AY112" s="30" t="s">
        <v>309</v>
      </c>
      <c r="AZ112" s="30" t="s">
        <v>202</v>
      </c>
      <c r="BA112" s="10" t="s">
        <v>65</v>
      </c>
      <c r="BC112" s="28">
        <f>AW112+AX112</f>
        <v>0</v>
      </c>
      <c r="BD112" s="28">
        <f>H112/(100-BE112)*100</f>
        <v>0</v>
      </c>
      <c r="BE112" s="28">
        <v>0</v>
      </c>
      <c r="BF112" s="28">
        <f>112</f>
        <v>112</v>
      </c>
      <c r="BH112" s="28">
        <f>G112*AO112</f>
        <v>0</v>
      </c>
      <c r="BI112" s="28">
        <f>G112*AP112</f>
        <v>0</v>
      </c>
      <c r="BJ112" s="28">
        <f>G112*H112</f>
        <v>0</v>
      </c>
      <c r="BK112" s="30" t="s">
        <v>66</v>
      </c>
      <c r="BL112" s="28"/>
      <c r="BW112" s="28">
        <v>21</v>
      </c>
      <c r="BX112" s="4" t="s">
        <v>311</v>
      </c>
    </row>
    <row r="113" spans="1:76" x14ac:dyDescent="0.25">
      <c r="A113" s="2" t="s">
        <v>312</v>
      </c>
      <c r="B113" s="3" t="s">
        <v>54</v>
      </c>
      <c r="C113" s="3" t="s">
        <v>313</v>
      </c>
      <c r="D113" s="72" t="s">
        <v>314</v>
      </c>
      <c r="E113" s="67"/>
      <c r="F113" s="3" t="s">
        <v>225</v>
      </c>
      <c r="G113" s="28">
        <v>95</v>
      </c>
      <c r="H113" s="61">
        <v>0</v>
      </c>
      <c r="I113" s="28">
        <f>ROUND(G113*AO113,2)</f>
        <v>0</v>
      </c>
      <c r="J113" s="28">
        <f>ROUND(G113*AP113,2)</f>
        <v>0</v>
      </c>
      <c r="K113" s="28">
        <f>ROUND(G113*H113,2)</f>
        <v>0</v>
      </c>
      <c r="L113" s="29" t="s">
        <v>62</v>
      </c>
      <c r="Z113" s="28">
        <f>ROUND(IF(AQ113="5",BJ113,0),2)</f>
        <v>0</v>
      </c>
      <c r="AB113" s="28">
        <f>ROUND(IF(AQ113="1",BH113,0),2)</f>
        <v>0</v>
      </c>
      <c r="AC113" s="28">
        <f>ROUND(IF(AQ113="1",BI113,0),2)</f>
        <v>0</v>
      </c>
      <c r="AD113" s="28">
        <f>ROUND(IF(AQ113="7",BH113,0),2)</f>
        <v>0</v>
      </c>
      <c r="AE113" s="28">
        <f>ROUND(IF(AQ113="7",BI113,0),2)</f>
        <v>0</v>
      </c>
      <c r="AF113" s="28">
        <f>ROUND(IF(AQ113="2",BH113,0),2)</f>
        <v>0</v>
      </c>
      <c r="AG113" s="28">
        <f>ROUND(IF(AQ113="2",BI113,0),2)</f>
        <v>0</v>
      </c>
      <c r="AH113" s="28">
        <f>ROUND(IF(AQ113="0",BJ113,0),2)</f>
        <v>0</v>
      </c>
      <c r="AI113" s="10" t="s">
        <v>54</v>
      </c>
      <c r="AJ113" s="28">
        <f>IF(AN113=0,K113,0)</f>
        <v>0</v>
      </c>
      <c r="AK113" s="28">
        <f>IF(AN113=12,K113,0)</f>
        <v>0</v>
      </c>
      <c r="AL113" s="28">
        <f>IF(AN113=21,K113,0)</f>
        <v>0</v>
      </c>
      <c r="AN113" s="28">
        <v>21</v>
      </c>
      <c r="AO113" s="28">
        <f>H113*0</f>
        <v>0</v>
      </c>
      <c r="AP113" s="28">
        <f>H113*(1-0)</f>
        <v>0</v>
      </c>
      <c r="AQ113" s="30" t="s">
        <v>80</v>
      </c>
      <c r="AV113" s="28">
        <f>ROUND(AW113+AX113,2)</f>
        <v>0</v>
      </c>
      <c r="AW113" s="28">
        <f>ROUND(G113*AO113,2)</f>
        <v>0</v>
      </c>
      <c r="AX113" s="28">
        <f>ROUND(G113*AP113,2)</f>
        <v>0</v>
      </c>
      <c r="AY113" s="30" t="s">
        <v>309</v>
      </c>
      <c r="AZ113" s="30" t="s">
        <v>202</v>
      </c>
      <c r="BA113" s="10" t="s">
        <v>65</v>
      </c>
      <c r="BC113" s="28">
        <f>AW113+AX113</f>
        <v>0</v>
      </c>
      <c r="BD113" s="28">
        <f>H113/(100-BE113)*100</f>
        <v>0</v>
      </c>
      <c r="BE113" s="28">
        <v>0</v>
      </c>
      <c r="BF113" s="28">
        <f>113</f>
        <v>113</v>
      </c>
      <c r="BH113" s="28">
        <f>G113*AO113</f>
        <v>0</v>
      </c>
      <c r="BI113" s="28">
        <f>G113*AP113</f>
        <v>0</v>
      </c>
      <c r="BJ113" s="28">
        <f>G113*H113</f>
        <v>0</v>
      </c>
      <c r="BK113" s="30" t="s">
        <v>66</v>
      </c>
      <c r="BL113" s="28"/>
      <c r="BW113" s="28">
        <v>21</v>
      </c>
      <c r="BX113" s="4" t="s">
        <v>314</v>
      </c>
    </row>
    <row r="114" spans="1:76" x14ac:dyDescent="0.25">
      <c r="A114" s="2" t="s">
        <v>162</v>
      </c>
      <c r="B114" s="3" t="s">
        <v>54</v>
      </c>
      <c r="C114" s="3" t="s">
        <v>315</v>
      </c>
      <c r="D114" s="72" t="s">
        <v>316</v>
      </c>
      <c r="E114" s="67"/>
      <c r="F114" s="3" t="s">
        <v>225</v>
      </c>
      <c r="G114" s="28">
        <v>82</v>
      </c>
      <c r="H114" s="61">
        <v>0</v>
      </c>
      <c r="I114" s="28">
        <f>ROUND(G114*AO114,2)</f>
        <v>0</v>
      </c>
      <c r="J114" s="28">
        <f>ROUND(G114*AP114,2)</f>
        <v>0</v>
      </c>
      <c r="K114" s="28">
        <f>ROUND(G114*H114,2)</f>
        <v>0</v>
      </c>
      <c r="L114" s="29" t="s">
        <v>62</v>
      </c>
      <c r="Z114" s="28">
        <f>ROUND(IF(AQ114="5",BJ114,0),2)</f>
        <v>0</v>
      </c>
      <c r="AB114" s="28">
        <f>ROUND(IF(AQ114="1",BH114,0),2)</f>
        <v>0</v>
      </c>
      <c r="AC114" s="28">
        <f>ROUND(IF(AQ114="1",BI114,0),2)</f>
        <v>0</v>
      </c>
      <c r="AD114" s="28">
        <f>ROUND(IF(AQ114="7",BH114,0),2)</f>
        <v>0</v>
      </c>
      <c r="AE114" s="28">
        <f>ROUND(IF(AQ114="7",BI114,0),2)</f>
        <v>0</v>
      </c>
      <c r="AF114" s="28">
        <f>ROUND(IF(AQ114="2",BH114,0),2)</f>
        <v>0</v>
      </c>
      <c r="AG114" s="28">
        <f>ROUND(IF(AQ114="2",BI114,0),2)</f>
        <v>0</v>
      </c>
      <c r="AH114" s="28">
        <f>ROUND(IF(AQ114="0",BJ114,0),2)</f>
        <v>0</v>
      </c>
      <c r="AI114" s="10" t="s">
        <v>54</v>
      </c>
      <c r="AJ114" s="28">
        <f>IF(AN114=0,K114,0)</f>
        <v>0</v>
      </c>
      <c r="AK114" s="28">
        <f>IF(AN114=12,K114,0)</f>
        <v>0</v>
      </c>
      <c r="AL114" s="28">
        <f>IF(AN114=21,K114,0)</f>
        <v>0</v>
      </c>
      <c r="AN114" s="28">
        <v>21</v>
      </c>
      <c r="AO114" s="28">
        <f>H114*0</f>
        <v>0</v>
      </c>
      <c r="AP114" s="28">
        <f>H114*(1-0)</f>
        <v>0</v>
      </c>
      <c r="AQ114" s="30" t="s">
        <v>80</v>
      </c>
      <c r="AV114" s="28">
        <f>ROUND(AW114+AX114,2)</f>
        <v>0</v>
      </c>
      <c r="AW114" s="28">
        <f>ROUND(G114*AO114,2)</f>
        <v>0</v>
      </c>
      <c r="AX114" s="28">
        <f>ROUND(G114*AP114,2)</f>
        <v>0</v>
      </c>
      <c r="AY114" s="30" t="s">
        <v>309</v>
      </c>
      <c r="AZ114" s="30" t="s">
        <v>202</v>
      </c>
      <c r="BA114" s="10" t="s">
        <v>65</v>
      </c>
      <c r="BC114" s="28">
        <f>AW114+AX114</f>
        <v>0</v>
      </c>
      <c r="BD114" s="28">
        <f>H114/(100-BE114)*100</f>
        <v>0</v>
      </c>
      <c r="BE114" s="28">
        <v>0</v>
      </c>
      <c r="BF114" s="28">
        <f>114</f>
        <v>114</v>
      </c>
      <c r="BH114" s="28">
        <f>G114*AO114</f>
        <v>0</v>
      </c>
      <c r="BI114" s="28">
        <f>G114*AP114</f>
        <v>0</v>
      </c>
      <c r="BJ114" s="28">
        <f>G114*H114</f>
        <v>0</v>
      </c>
      <c r="BK114" s="30" t="s">
        <v>66</v>
      </c>
      <c r="BL114" s="28"/>
      <c r="BW114" s="28">
        <v>21</v>
      </c>
      <c r="BX114" s="4" t="s">
        <v>316</v>
      </c>
    </row>
    <row r="115" spans="1:76" x14ac:dyDescent="0.25">
      <c r="A115" s="2" t="s">
        <v>317</v>
      </c>
      <c r="B115" s="3" t="s">
        <v>54</v>
      </c>
      <c r="C115" s="3" t="s">
        <v>318</v>
      </c>
      <c r="D115" s="72" t="s">
        <v>319</v>
      </c>
      <c r="E115" s="67"/>
      <c r="F115" s="3" t="s">
        <v>225</v>
      </c>
      <c r="G115" s="28">
        <v>738</v>
      </c>
      <c r="H115" s="61">
        <v>0</v>
      </c>
      <c r="I115" s="28">
        <f>ROUND(G115*AO115,2)</f>
        <v>0</v>
      </c>
      <c r="J115" s="28">
        <f>ROUND(G115*AP115,2)</f>
        <v>0</v>
      </c>
      <c r="K115" s="28">
        <f>ROUND(G115*H115,2)</f>
        <v>0</v>
      </c>
      <c r="L115" s="29" t="s">
        <v>62</v>
      </c>
      <c r="Z115" s="28">
        <f>ROUND(IF(AQ115="5",BJ115,0),2)</f>
        <v>0</v>
      </c>
      <c r="AB115" s="28">
        <f>ROUND(IF(AQ115="1",BH115,0),2)</f>
        <v>0</v>
      </c>
      <c r="AC115" s="28">
        <f>ROUND(IF(AQ115="1",BI115,0),2)</f>
        <v>0</v>
      </c>
      <c r="AD115" s="28">
        <f>ROUND(IF(AQ115="7",BH115,0),2)</f>
        <v>0</v>
      </c>
      <c r="AE115" s="28">
        <f>ROUND(IF(AQ115="7",BI115,0),2)</f>
        <v>0</v>
      </c>
      <c r="AF115" s="28">
        <f>ROUND(IF(AQ115="2",BH115,0),2)</f>
        <v>0</v>
      </c>
      <c r="AG115" s="28">
        <f>ROUND(IF(AQ115="2",BI115,0),2)</f>
        <v>0</v>
      </c>
      <c r="AH115" s="28">
        <f>ROUND(IF(AQ115="0",BJ115,0),2)</f>
        <v>0</v>
      </c>
      <c r="AI115" s="10" t="s">
        <v>54</v>
      </c>
      <c r="AJ115" s="28">
        <f>IF(AN115=0,K115,0)</f>
        <v>0</v>
      </c>
      <c r="AK115" s="28">
        <f>IF(AN115=12,K115,0)</f>
        <v>0</v>
      </c>
      <c r="AL115" s="28">
        <f>IF(AN115=21,K115,0)</f>
        <v>0</v>
      </c>
      <c r="AN115" s="28">
        <v>21</v>
      </c>
      <c r="AO115" s="28">
        <f>H115*0</f>
        <v>0</v>
      </c>
      <c r="AP115" s="28">
        <f>H115*(1-0)</f>
        <v>0</v>
      </c>
      <c r="AQ115" s="30" t="s">
        <v>80</v>
      </c>
      <c r="AV115" s="28">
        <f>ROUND(AW115+AX115,2)</f>
        <v>0</v>
      </c>
      <c r="AW115" s="28">
        <f>ROUND(G115*AO115,2)</f>
        <v>0</v>
      </c>
      <c r="AX115" s="28">
        <f>ROUND(G115*AP115,2)</f>
        <v>0</v>
      </c>
      <c r="AY115" s="30" t="s">
        <v>309</v>
      </c>
      <c r="AZ115" s="30" t="s">
        <v>202</v>
      </c>
      <c r="BA115" s="10" t="s">
        <v>65</v>
      </c>
      <c r="BC115" s="28">
        <f>AW115+AX115</f>
        <v>0</v>
      </c>
      <c r="BD115" s="28">
        <f>H115/(100-BE115)*100</f>
        <v>0</v>
      </c>
      <c r="BE115" s="28">
        <v>0</v>
      </c>
      <c r="BF115" s="28">
        <f>115</f>
        <v>115</v>
      </c>
      <c r="BH115" s="28">
        <f>G115*AO115</f>
        <v>0</v>
      </c>
      <c r="BI115" s="28">
        <f>G115*AP115</f>
        <v>0</v>
      </c>
      <c r="BJ115" s="28">
        <f>G115*H115</f>
        <v>0</v>
      </c>
      <c r="BK115" s="30" t="s">
        <v>66</v>
      </c>
      <c r="BL115" s="28"/>
      <c r="BW115" s="28">
        <v>21</v>
      </c>
      <c r="BX115" s="4" t="s">
        <v>319</v>
      </c>
    </row>
    <row r="116" spans="1:76" x14ac:dyDescent="0.25">
      <c r="A116" s="24" t="s">
        <v>53</v>
      </c>
      <c r="B116" s="25" t="s">
        <v>54</v>
      </c>
      <c r="C116" s="25" t="s">
        <v>320</v>
      </c>
      <c r="D116" s="83" t="s">
        <v>321</v>
      </c>
      <c r="E116" s="84"/>
      <c r="F116" s="26" t="s">
        <v>18</v>
      </c>
      <c r="G116" s="26" t="s">
        <v>18</v>
      </c>
      <c r="H116" s="26" t="s">
        <v>18</v>
      </c>
      <c r="I116" s="1">
        <f>SUM(I117:I129)</f>
        <v>0</v>
      </c>
      <c r="J116" s="1">
        <f>SUM(J117:J129)</f>
        <v>0</v>
      </c>
      <c r="K116" s="1">
        <f>SUM(K117:K129)</f>
        <v>0</v>
      </c>
      <c r="L116" s="27" t="s">
        <v>53</v>
      </c>
      <c r="AI116" s="10" t="s">
        <v>54</v>
      </c>
      <c r="AS116" s="1">
        <f>SUM(AJ117:AJ129)</f>
        <v>0</v>
      </c>
      <c r="AT116" s="1">
        <f>SUM(AK117:AK129)</f>
        <v>0</v>
      </c>
      <c r="AU116" s="1">
        <f>SUM(AL117:AL129)</f>
        <v>0</v>
      </c>
    </row>
    <row r="117" spans="1:76" x14ac:dyDescent="0.25">
      <c r="A117" s="2" t="s">
        <v>322</v>
      </c>
      <c r="B117" s="3" t="s">
        <v>54</v>
      </c>
      <c r="C117" s="3" t="s">
        <v>323</v>
      </c>
      <c r="D117" s="72" t="s">
        <v>324</v>
      </c>
      <c r="E117" s="67"/>
      <c r="F117" s="3" t="s">
        <v>225</v>
      </c>
      <c r="G117" s="28">
        <v>648</v>
      </c>
      <c r="H117" s="61">
        <v>0</v>
      </c>
      <c r="I117" s="28">
        <f t="shared" ref="I117:I129" si="0">ROUND(G117*AO117,2)</f>
        <v>0</v>
      </c>
      <c r="J117" s="28">
        <f t="shared" ref="J117:J129" si="1">ROUND(G117*AP117,2)</f>
        <v>0</v>
      </c>
      <c r="K117" s="28">
        <f t="shared" ref="K117:K129" si="2">ROUND(G117*H117,2)</f>
        <v>0</v>
      </c>
      <c r="L117" s="29" t="s">
        <v>62</v>
      </c>
      <c r="Z117" s="28">
        <f t="shared" ref="Z117:Z129" si="3">ROUND(IF(AQ117="5",BJ117,0),2)</f>
        <v>0</v>
      </c>
      <c r="AB117" s="28">
        <f t="shared" ref="AB117:AB129" si="4">ROUND(IF(AQ117="1",BH117,0),2)</f>
        <v>0</v>
      </c>
      <c r="AC117" s="28">
        <f t="shared" ref="AC117:AC129" si="5">ROUND(IF(AQ117="1",BI117,0),2)</f>
        <v>0</v>
      </c>
      <c r="AD117" s="28">
        <f t="shared" ref="AD117:AD129" si="6">ROUND(IF(AQ117="7",BH117,0),2)</f>
        <v>0</v>
      </c>
      <c r="AE117" s="28">
        <f t="shared" ref="AE117:AE129" si="7">ROUND(IF(AQ117="7",BI117,0),2)</f>
        <v>0</v>
      </c>
      <c r="AF117" s="28">
        <f t="shared" ref="AF117:AF129" si="8">ROUND(IF(AQ117="2",BH117,0),2)</f>
        <v>0</v>
      </c>
      <c r="AG117" s="28">
        <f t="shared" ref="AG117:AG129" si="9">ROUND(IF(AQ117="2",BI117,0),2)</f>
        <v>0</v>
      </c>
      <c r="AH117" s="28">
        <f t="shared" ref="AH117:AH129" si="10">ROUND(IF(AQ117="0",BJ117,0),2)</f>
        <v>0</v>
      </c>
      <c r="AI117" s="10" t="s">
        <v>54</v>
      </c>
      <c r="AJ117" s="28">
        <f t="shared" ref="AJ117:AJ129" si="11">IF(AN117=0,K117,0)</f>
        <v>0</v>
      </c>
      <c r="AK117" s="28">
        <f t="shared" ref="AK117:AK129" si="12">IF(AN117=12,K117,0)</f>
        <v>0</v>
      </c>
      <c r="AL117" s="28">
        <f t="shared" ref="AL117:AL129" si="13">IF(AN117=21,K117,0)</f>
        <v>0</v>
      </c>
      <c r="AN117" s="28">
        <v>21</v>
      </c>
      <c r="AO117" s="28">
        <f t="shared" ref="AO117:AO129" si="14">H117*1</f>
        <v>0</v>
      </c>
      <c r="AP117" s="28">
        <f t="shared" ref="AP117:AP129" si="15">H117*(1-1)</f>
        <v>0</v>
      </c>
      <c r="AQ117" s="30" t="s">
        <v>325</v>
      </c>
      <c r="AV117" s="28">
        <f t="shared" ref="AV117:AV129" si="16">ROUND(AW117+AX117,2)</f>
        <v>0</v>
      </c>
      <c r="AW117" s="28">
        <f t="shared" ref="AW117:AW129" si="17">ROUND(G117*AO117,2)</f>
        <v>0</v>
      </c>
      <c r="AX117" s="28">
        <f t="shared" ref="AX117:AX129" si="18">ROUND(G117*AP117,2)</f>
        <v>0</v>
      </c>
      <c r="AY117" s="30" t="s">
        <v>326</v>
      </c>
      <c r="AZ117" s="30" t="s">
        <v>327</v>
      </c>
      <c r="BA117" s="10" t="s">
        <v>65</v>
      </c>
      <c r="BC117" s="28">
        <f t="shared" ref="BC117:BC129" si="19">AW117+AX117</f>
        <v>0</v>
      </c>
      <c r="BD117" s="28">
        <f t="shared" ref="BD117:BD129" si="20">H117/(100-BE117)*100</f>
        <v>0</v>
      </c>
      <c r="BE117" s="28">
        <v>0</v>
      </c>
      <c r="BF117" s="28">
        <f>117</f>
        <v>117</v>
      </c>
      <c r="BH117" s="28">
        <f t="shared" ref="BH117:BH129" si="21">G117*AO117</f>
        <v>0</v>
      </c>
      <c r="BI117" s="28">
        <f t="shared" ref="BI117:BI129" si="22">G117*AP117</f>
        <v>0</v>
      </c>
      <c r="BJ117" s="28">
        <f t="shared" ref="BJ117:BJ129" si="23">G117*H117</f>
        <v>0</v>
      </c>
      <c r="BK117" s="30" t="s">
        <v>320</v>
      </c>
      <c r="BL117" s="28"/>
      <c r="BW117" s="28">
        <v>21</v>
      </c>
      <c r="BX117" s="4" t="s">
        <v>324</v>
      </c>
    </row>
    <row r="118" spans="1:76" x14ac:dyDescent="0.25">
      <c r="A118" s="2" t="s">
        <v>328</v>
      </c>
      <c r="B118" s="3" t="s">
        <v>54</v>
      </c>
      <c r="C118" s="3" t="s">
        <v>329</v>
      </c>
      <c r="D118" s="72" t="s">
        <v>330</v>
      </c>
      <c r="E118" s="67"/>
      <c r="F118" s="3" t="s">
        <v>61</v>
      </c>
      <c r="G118" s="28">
        <v>18</v>
      </c>
      <c r="H118" s="61">
        <v>0</v>
      </c>
      <c r="I118" s="28">
        <f t="shared" si="0"/>
        <v>0</v>
      </c>
      <c r="J118" s="28">
        <f t="shared" si="1"/>
        <v>0</v>
      </c>
      <c r="K118" s="28">
        <f t="shared" si="2"/>
        <v>0</v>
      </c>
      <c r="L118" s="29" t="s">
        <v>62</v>
      </c>
      <c r="Z118" s="28">
        <f t="shared" si="3"/>
        <v>0</v>
      </c>
      <c r="AB118" s="28">
        <f t="shared" si="4"/>
        <v>0</v>
      </c>
      <c r="AC118" s="28">
        <f t="shared" si="5"/>
        <v>0</v>
      </c>
      <c r="AD118" s="28">
        <f t="shared" si="6"/>
        <v>0</v>
      </c>
      <c r="AE118" s="28">
        <f t="shared" si="7"/>
        <v>0</v>
      </c>
      <c r="AF118" s="28">
        <f t="shared" si="8"/>
        <v>0</v>
      </c>
      <c r="AG118" s="28">
        <f t="shared" si="9"/>
        <v>0</v>
      </c>
      <c r="AH118" s="28">
        <f t="shared" si="10"/>
        <v>0</v>
      </c>
      <c r="AI118" s="10" t="s">
        <v>54</v>
      </c>
      <c r="AJ118" s="28">
        <f t="shared" si="11"/>
        <v>0</v>
      </c>
      <c r="AK118" s="28">
        <f t="shared" si="12"/>
        <v>0</v>
      </c>
      <c r="AL118" s="28">
        <f t="shared" si="13"/>
        <v>0</v>
      </c>
      <c r="AN118" s="28">
        <v>21</v>
      </c>
      <c r="AO118" s="28">
        <f t="shared" si="14"/>
        <v>0</v>
      </c>
      <c r="AP118" s="28">
        <f t="shared" si="15"/>
        <v>0</v>
      </c>
      <c r="AQ118" s="30" t="s">
        <v>325</v>
      </c>
      <c r="AV118" s="28">
        <f t="shared" si="16"/>
        <v>0</v>
      </c>
      <c r="AW118" s="28">
        <f t="shared" si="17"/>
        <v>0</v>
      </c>
      <c r="AX118" s="28">
        <f t="shared" si="18"/>
        <v>0</v>
      </c>
      <c r="AY118" s="30" t="s">
        <v>326</v>
      </c>
      <c r="AZ118" s="30" t="s">
        <v>327</v>
      </c>
      <c r="BA118" s="10" t="s">
        <v>65</v>
      </c>
      <c r="BC118" s="28">
        <f t="shared" si="19"/>
        <v>0</v>
      </c>
      <c r="BD118" s="28">
        <f t="shared" si="20"/>
        <v>0</v>
      </c>
      <c r="BE118" s="28">
        <v>0</v>
      </c>
      <c r="BF118" s="28">
        <f>118</f>
        <v>118</v>
      </c>
      <c r="BH118" s="28">
        <f t="shared" si="21"/>
        <v>0</v>
      </c>
      <c r="BI118" s="28">
        <f t="shared" si="22"/>
        <v>0</v>
      </c>
      <c r="BJ118" s="28">
        <f t="shared" si="23"/>
        <v>0</v>
      </c>
      <c r="BK118" s="30" t="s">
        <v>320</v>
      </c>
      <c r="BL118" s="28"/>
      <c r="BW118" s="28">
        <v>21</v>
      </c>
      <c r="BX118" s="4" t="s">
        <v>330</v>
      </c>
    </row>
    <row r="119" spans="1:76" x14ac:dyDescent="0.25">
      <c r="A119" s="2" t="s">
        <v>331</v>
      </c>
      <c r="B119" s="3" t="s">
        <v>54</v>
      </c>
      <c r="C119" s="3" t="s">
        <v>332</v>
      </c>
      <c r="D119" s="72" t="s">
        <v>333</v>
      </c>
      <c r="E119" s="67"/>
      <c r="F119" s="3" t="s">
        <v>177</v>
      </c>
      <c r="G119" s="28">
        <v>8</v>
      </c>
      <c r="H119" s="61">
        <v>0</v>
      </c>
      <c r="I119" s="28">
        <f t="shared" si="0"/>
        <v>0</v>
      </c>
      <c r="J119" s="28">
        <f t="shared" si="1"/>
        <v>0</v>
      </c>
      <c r="K119" s="28">
        <f t="shared" si="2"/>
        <v>0</v>
      </c>
      <c r="L119" s="29" t="s">
        <v>62</v>
      </c>
      <c r="Z119" s="28">
        <f t="shared" si="3"/>
        <v>0</v>
      </c>
      <c r="AB119" s="28">
        <f t="shared" si="4"/>
        <v>0</v>
      </c>
      <c r="AC119" s="28">
        <f t="shared" si="5"/>
        <v>0</v>
      </c>
      <c r="AD119" s="28">
        <f t="shared" si="6"/>
        <v>0</v>
      </c>
      <c r="AE119" s="28">
        <f t="shared" si="7"/>
        <v>0</v>
      </c>
      <c r="AF119" s="28">
        <f t="shared" si="8"/>
        <v>0</v>
      </c>
      <c r="AG119" s="28">
        <f t="shared" si="9"/>
        <v>0</v>
      </c>
      <c r="AH119" s="28">
        <f t="shared" si="10"/>
        <v>0</v>
      </c>
      <c r="AI119" s="10" t="s">
        <v>54</v>
      </c>
      <c r="AJ119" s="28">
        <f t="shared" si="11"/>
        <v>0</v>
      </c>
      <c r="AK119" s="28">
        <f t="shared" si="12"/>
        <v>0</v>
      </c>
      <c r="AL119" s="28">
        <f t="shared" si="13"/>
        <v>0</v>
      </c>
      <c r="AN119" s="28">
        <v>21</v>
      </c>
      <c r="AO119" s="28">
        <f t="shared" si="14"/>
        <v>0</v>
      </c>
      <c r="AP119" s="28">
        <f t="shared" si="15"/>
        <v>0</v>
      </c>
      <c r="AQ119" s="30" t="s">
        <v>325</v>
      </c>
      <c r="AV119" s="28">
        <f t="shared" si="16"/>
        <v>0</v>
      </c>
      <c r="AW119" s="28">
        <f t="shared" si="17"/>
        <v>0</v>
      </c>
      <c r="AX119" s="28">
        <f t="shared" si="18"/>
        <v>0</v>
      </c>
      <c r="AY119" s="30" t="s">
        <v>326</v>
      </c>
      <c r="AZ119" s="30" t="s">
        <v>327</v>
      </c>
      <c r="BA119" s="10" t="s">
        <v>65</v>
      </c>
      <c r="BC119" s="28">
        <f t="shared" si="19"/>
        <v>0</v>
      </c>
      <c r="BD119" s="28">
        <f t="shared" si="20"/>
        <v>0</v>
      </c>
      <c r="BE119" s="28">
        <v>0</v>
      </c>
      <c r="BF119" s="28">
        <f>119</f>
        <v>119</v>
      </c>
      <c r="BH119" s="28">
        <f t="shared" si="21"/>
        <v>0</v>
      </c>
      <c r="BI119" s="28">
        <f t="shared" si="22"/>
        <v>0</v>
      </c>
      <c r="BJ119" s="28">
        <f t="shared" si="23"/>
        <v>0</v>
      </c>
      <c r="BK119" s="30" t="s">
        <v>320</v>
      </c>
      <c r="BL119" s="28"/>
      <c r="BW119" s="28">
        <v>21</v>
      </c>
      <c r="BX119" s="4" t="s">
        <v>333</v>
      </c>
    </row>
    <row r="120" spans="1:76" x14ac:dyDescent="0.25">
      <c r="A120" s="2" t="s">
        <v>334</v>
      </c>
      <c r="B120" s="3" t="s">
        <v>54</v>
      </c>
      <c r="C120" s="3" t="s">
        <v>335</v>
      </c>
      <c r="D120" s="72" t="s">
        <v>336</v>
      </c>
      <c r="E120" s="67"/>
      <c r="F120" s="3" t="s">
        <v>177</v>
      </c>
      <c r="G120" s="28">
        <v>8</v>
      </c>
      <c r="H120" s="61">
        <v>0</v>
      </c>
      <c r="I120" s="28">
        <f t="shared" si="0"/>
        <v>0</v>
      </c>
      <c r="J120" s="28">
        <f t="shared" si="1"/>
        <v>0</v>
      </c>
      <c r="K120" s="28">
        <f t="shared" si="2"/>
        <v>0</v>
      </c>
      <c r="L120" s="29" t="s">
        <v>62</v>
      </c>
      <c r="Z120" s="28">
        <f t="shared" si="3"/>
        <v>0</v>
      </c>
      <c r="AB120" s="28">
        <f t="shared" si="4"/>
        <v>0</v>
      </c>
      <c r="AC120" s="28">
        <f t="shared" si="5"/>
        <v>0</v>
      </c>
      <c r="AD120" s="28">
        <f t="shared" si="6"/>
        <v>0</v>
      </c>
      <c r="AE120" s="28">
        <f t="shared" si="7"/>
        <v>0</v>
      </c>
      <c r="AF120" s="28">
        <f t="shared" si="8"/>
        <v>0</v>
      </c>
      <c r="AG120" s="28">
        <f t="shared" si="9"/>
        <v>0</v>
      </c>
      <c r="AH120" s="28">
        <f t="shared" si="10"/>
        <v>0</v>
      </c>
      <c r="AI120" s="10" t="s">
        <v>54</v>
      </c>
      <c r="AJ120" s="28">
        <f t="shared" si="11"/>
        <v>0</v>
      </c>
      <c r="AK120" s="28">
        <f t="shared" si="12"/>
        <v>0</v>
      </c>
      <c r="AL120" s="28">
        <f t="shared" si="13"/>
        <v>0</v>
      </c>
      <c r="AN120" s="28">
        <v>21</v>
      </c>
      <c r="AO120" s="28">
        <f t="shared" si="14"/>
        <v>0</v>
      </c>
      <c r="AP120" s="28">
        <f t="shared" si="15"/>
        <v>0</v>
      </c>
      <c r="AQ120" s="30" t="s">
        <v>325</v>
      </c>
      <c r="AV120" s="28">
        <f t="shared" si="16"/>
        <v>0</v>
      </c>
      <c r="AW120" s="28">
        <f t="shared" si="17"/>
        <v>0</v>
      </c>
      <c r="AX120" s="28">
        <f t="shared" si="18"/>
        <v>0</v>
      </c>
      <c r="AY120" s="30" t="s">
        <v>326</v>
      </c>
      <c r="AZ120" s="30" t="s">
        <v>327</v>
      </c>
      <c r="BA120" s="10" t="s">
        <v>65</v>
      </c>
      <c r="BC120" s="28">
        <f t="shared" si="19"/>
        <v>0</v>
      </c>
      <c r="BD120" s="28">
        <f t="shared" si="20"/>
        <v>0</v>
      </c>
      <c r="BE120" s="28">
        <v>0</v>
      </c>
      <c r="BF120" s="28">
        <f>120</f>
        <v>120</v>
      </c>
      <c r="BH120" s="28">
        <f t="shared" si="21"/>
        <v>0</v>
      </c>
      <c r="BI120" s="28">
        <f t="shared" si="22"/>
        <v>0</v>
      </c>
      <c r="BJ120" s="28">
        <f t="shared" si="23"/>
        <v>0</v>
      </c>
      <c r="BK120" s="30" t="s">
        <v>320</v>
      </c>
      <c r="BL120" s="28"/>
      <c r="BW120" s="28">
        <v>21</v>
      </c>
      <c r="BX120" s="4" t="s">
        <v>336</v>
      </c>
    </row>
    <row r="121" spans="1:76" x14ac:dyDescent="0.25">
      <c r="A121" s="2" t="s">
        <v>337</v>
      </c>
      <c r="B121" s="3" t="s">
        <v>54</v>
      </c>
      <c r="C121" s="3" t="s">
        <v>338</v>
      </c>
      <c r="D121" s="72" t="s">
        <v>339</v>
      </c>
      <c r="E121" s="67"/>
      <c r="F121" s="3" t="s">
        <v>91</v>
      </c>
      <c r="G121" s="28">
        <v>3</v>
      </c>
      <c r="H121" s="61">
        <v>0</v>
      </c>
      <c r="I121" s="28">
        <f t="shared" si="0"/>
        <v>0</v>
      </c>
      <c r="J121" s="28">
        <f t="shared" si="1"/>
        <v>0</v>
      </c>
      <c r="K121" s="28">
        <f t="shared" si="2"/>
        <v>0</v>
      </c>
      <c r="L121" s="29" t="s">
        <v>62</v>
      </c>
      <c r="Z121" s="28">
        <f t="shared" si="3"/>
        <v>0</v>
      </c>
      <c r="AB121" s="28">
        <f t="shared" si="4"/>
        <v>0</v>
      </c>
      <c r="AC121" s="28">
        <f t="shared" si="5"/>
        <v>0</v>
      </c>
      <c r="AD121" s="28">
        <f t="shared" si="6"/>
        <v>0</v>
      </c>
      <c r="AE121" s="28">
        <f t="shared" si="7"/>
        <v>0</v>
      </c>
      <c r="AF121" s="28">
        <f t="shared" si="8"/>
        <v>0</v>
      </c>
      <c r="AG121" s="28">
        <f t="shared" si="9"/>
        <v>0</v>
      </c>
      <c r="AH121" s="28">
        <f t="shared" si="10"/>
        <v>0</v>
      </c>
      <c r="AI121" s="10" t="s">
        <v>54</v>
      </c>
      <c r="AJ121" s="28">
        <f t="shared" si="11"/>
        <v>0</v>
      </c>
      <c r="AK121" s="28">
        <f t="shared" si="12"/>
        <v>0</v>
      </c>
      <c r="AL121" s="28">
        <f t="shared" si="13"/>
        <v>0</v>
      </c>
      <c r="AN121" s="28">
        <v>21</v>
      </c>
      <c r="AO121" s="28">
        <f t="shared" si="14"/>
        <v>0</v>
      </c>
      <c r="AP121" s="28">
        <f t="shared" si="15"/>
        <v>0</v>
      </c>
      <c r="AQ121" s="30" t="s">
        <v>325</v>
      </c>
      <c r="AV121" s="28">
        <f t="shared" si="16"/>
        <v>0</v>
      </c>
      <c r="AW121" s="28">
        <f t="shared" si="17"/>
        <v>0</v>
      </c>
      <c r="AX121" s="28">
        <f t="shared" si="18"/>
        <v>0</v>
      </c>
      <c r="AY121" s="30" t="s">
        <v>326</v>
      </c>
      <c r="AZ121" s="30" t="s">
        <v>327</v>
      </c>
      <c r="BA121" s="10" t="s">
        <v>65</v>
      </c>
      <c r="BC121" s="28">
        <f t="shared" si="19"/>
        <v>0</v>
      </c>
      <c r="BD121" s="28">
        <f t="shared" si="20"/>
        <v>0</v>
      </c>
      <c r="BE121" s="28">
        <v>0</v>
      </c>
      <c r="BF121" s="28">
        <f>121</f>
        <v>121</v>
      </c>
      <c r="BH121" s="28">
        <f t="shared" si="21"/>
        <v>0</v>
      </c>
      <c r="BI121" s="28">
        <f t="shared" si="22"/>
        <v>0</v>
      </c>
      <c r="BJ121" s="28">
        <f t="shared" si="23"/>
        <v>0</v>
      </c>
      <c r="BK121" s="30" t="s">
        <v>320</v>
      </c>
      <c r="BL121" s="28"/>
      <c r="BW121" s="28">
        <v>21</v>
      </c>
      <c r="BX121" s="4" t="s">
        <v>339</v>
      </c>
    </row>
    <row r="122" spans="1:76" x14ac:dyDescent="0.25">
      <c r="A122" s="2" t="s">
        <v>340</v>
      </c>
      <c r="B122" s="3" t="s">
        <v>54</v>
      </c>
      <c r="C122" s="3" t="s">
        <v>341</v>
      </c>
      <c r="D122" s="72" t="s">
        <v>342</v>
      </c>
      <c r="E122" s="67"/>
      <c r="F122" s="3" t="s">
        <v>343</v>
      </c>
      <c r="G122" s="28">
        <v>60</v>
      </c>
      <c r="H122" s="61">
        <v>0</v>
      </c>
      <c r="I122" s="28">
        <f t="shared" si="0"/>
        <v>0</v>
      </c>
      <c r="J122" s="28">
        <f t="shared" si="1"/>
        <v>0</v>
      </c>
      <c r="K122" s="28">
        <f t="shared" si="2"/>
        <v>0</v>
      </c>
      <c r="L122" s="29" t="s">
        <v>62</v>
      </c>
      <c r="Z122" s="28">
        <f t="shared" si="3"/>
        <v>0</v>
      </c>
      <c r="AB122" s="28">
        <f t="shared" si="4"/>
        <v>0</v>
      </c>
      <c r="AC122" s="28">
        <f t="shared" si="5"/>
        <v>0</v>
      </c>
      <c r="AD122" s="28">
        <f t="shared" si="6"/>
        <v>0</v>
      </c>
      <c r="AE122" s="28">
        <f t="shared" si="7"/>
        <v>0</v>
      </c>
      <c r="AF122" s="28">
        <f t="shared" si="8"/>
        <v>0</v>
      </c>
      <c r="AG122" s="28">
        <f t="shared" si="9"/>
        <v>0</v>
      </c>
      <c r="AH122" s="28">
        <f t="shared" si="10"/>
        <v>0</v>
      </c>
      <c r="AI122" s="10" t="s">
        <v>54</v>
      </c>
      <c r="AJ122" s="28">
        <f t="shared" si="11"/>
        <v>0</v>
      </c>
      <c r="AK122" s="28">
        <f t="shared" si="12"/>
        <v>0</v>
      </c>
      <c r="AL122" s="28">
        <f t="shared" si="13"/>
        <v>0</v>
      </c>
      <c r="AN122" s="28">
        <v>21</v>
      </c>
      <c r="AO122" s="28">
        <f t="shared" si="14"/>
        <v>0</v>
      </c>
      <c r="AP122" s="28">
        <f t="shared" si="15"/>
        <v>0</v>
      </c>
      <c r="AQ122" s="30" t="s">
        <v>325</v>
      </c>
      <c r="AV122" s="28">
        <f t="shared" si="16"/>
        <v>0</v>
      </c>
      <c r="AW122" s="28">
        <f t="shared" si="17"/>
        <v>0</v>
      </c>
      <c r="AX122" s="28">
        <f t="shared" si="18"/>
        <v>0</v>
      </c>
      <c r="AY122" s="30" t="s">
        <v>326</v>
      </c>
      <c r="AZ122" s="30" t="s">
        <v>327</v>
      </c>
      <c r="BA122" s="10" t="s">
        <v>65</v>
      </c>
      <c r="BC122" s="28">
        <f t="shared" si="19"/>
        <v>0</v>
      </c>
      <c r="BD122" s="28">
        <f t="shared" si="20"/>
        <v>0</v>
      </c>
      <c r="BE122" s="28">
        <v>0</v>
      </c>
      <c r="BF122" s="28">
        <f>122</f>
        <v>122</v>
      </c>
      <c r="BH122" s="28">
        <f t="shared" si="21"/>
        <v>0</v>
      </c>
      <c r="BI122" s="28">
        <f t="shared" si="22"/>
        <v>0</v>
      </c>
      <c r="BJ122" s="28">
        <f t="shared" si="23"/>
        <v>0</v>
      </c>
      <c r="BK122" s="30" t="s">
        <v>320</v>
      </c>
      <c r="BL122" s="28"/>
      <c r="BW122" s="28">
        <v>21</v>
      </c>
      <c r="BX122" s="4" t="s">
        <v>342</v>
      </c>
    </row>
    <row r="123" spans="1:76" x14ac:dyDescent="0.25">
      <c r="A123" s="2" t="s">
        <v>344</v>
      </c>
      <c r="B123" s="3" t="s">
        <v>54</v>
      </c>
      <c r="C123" s="3" t="s">
        <v>345</v>
      </c>
      <c r="D123" s="72" t="s">
        <v>346</v>
      </c>
      <c r="E123" s="67"/>
      <c r="F123" s="3" t="s">
        <v>177</v>
      </c>
      <c r="G123" s="28">
        <v>10</v>
      </c>
      <c r="H123" s="61">
        <v>0</v>
      </c>
      <c r="I123" s="28">
        <f t="shared" si="0"/>
        <v>0</v>
      </c>
      <c r="J123" s="28">
        <f t="shared" si="1"/>
        <v>0</v>
      </c>
      <c r="K123" s="28">
        <f t="shared" si="2"/>
        <v>0</v>
      </c>
      <c r="L123" s="29" t="s">
        <v>62</v>
      </c>
      <c r="Z123" s="28">
        <f t="shared" si="3"/>
        <v>0</v>
      </c>
      <c r="AB123" s="28">
        <f t="shared" si="4"/>
        <v>0</v>
      </c>
      <c r="AC123" s="28">
        <f t="shared" si="5"/>
        <v>0</v>
      </c>
      <c r="AD123" s="28">
        <f t="shared" si="6"/>
        <v>0</v>
      </c>
      <c r="AE123" s="28">
        <f t="shared" si="7"/>
        <v>0</v>
      </c>
      <c r="AF123" s="28">
        <f t="shared" si="8"/>
        <v>0</v>
      </c>
      <c r="AG123" s="28">
        <f t="shared" si="9"/>
        <v>0</v>
      </c>
      <c r="AH123" s="28">
        <f t="shared" si="10"/>
        <v>0</v>
      </c>
      <c r="AI123" s="10" t="s">
        <v>54</v>
      </c>
      <c r="AJ123" s="28">
        <f t="shared" si="11"/>
        <v>0</v>
      </c>
      <c r="AK123" s="28">
        <f t="shared" si="12"/>
        <v>0</v>
      </c>
      <c r="AL123" s="28">
        <f t="shared" si="13"/>
        <v>0</v>
      </c>
      <c r="AN123" s="28">
        <v>21</v>
      </c>
      <c r="AO123" s="28">
        <f t="shared" si="14"/>
        <v>0</v>
      </c>
      <c r="AP123" s="28">
        <f t="shared" si="15"/>
        <v>0</v>
      </c>
      <c r="AQ123" s="30" t="s">
        <v>325</v>
      </c>
      <c r="AV123" s="28">
        <f t="shared" si="16"/>
        <v>0</v>
      </c>
      <c r="AW123" s="28">
        <f t="shared" si="17"/>
        <v>0</v>
      </c>
      <c r="AX123" s="28">
        <f t="shared" si="18"/>
        <v>0</v>
      </c>
      <c r="AY123" s="30" t="s">
        <v>326</v>
      </c>
      <c r="AZ123" s="30" t="s">
        <v>327</v>
      </c>
      <c r="BA123" s="10" t="s">
        <v>65</v>
      </c>
      <c r="BC123" s="28">
        <f t="shared" si="19"/>
        <v>0</v>
      </c>
      <c r="BD123" s="28">
        <f t="shared" si="20"/>
        <v>0</v>
      </c>
      <c r="BE123" s="28">
        <v>0</v>
      </c>
      <c r="BF123" s="28">
        <f>123</f>
        <v>123</v>
      </c>
      <c r="BH123" s="28">
        <f t="shared" si="21"/>
        <v>0</v>
      </c>
      <c r="BI123" s="28">
        <f t="shared" si="22"/>
        <v>0</v>
      </c>
      <c r="BJ123" s="28">
        <f t="shared" si="23"/>
        <v>0</v>
      </c>
      <c r="BK123" s="30" t="s">
        <v>320</v>
      </c>
      <c r="BL123" s="28"/>
      <c r="BW123" s="28">
        <v>21</v>
      </c>
      <c r="BX123" s="4" t="s">
        <v>346</v>
      </c>
    </row>
    <row r="124" spans="1:76" x14ac:dyDescent="0.25">
      <c r="A124" s="2" t="s">
        <v>347</v>
      </c>
      <c r="B124" s="3" t="s">
        <v>54</v>
      </c>
      <c r="C124" s="3" t="s">
        <v>348</v>
      </c>
      <c r="D124" s="72" t="s">
        <v>349</v>
      </c>
      <c r="E124" s="67"/>
      <c r="F124" s="3" t="s">
        <v>225</v>
      </c>
      <c r="G124" s="28">
        <v>5</v>
      </c>
      <c r="H124" s="61">
        <v>0</v>
      </c>
      <c r="I124" s="28">
        <f t="shared" si="0"/>
        <v>0</v>
      </c>
      <c r="J124" s="28">
        <f t="shared" si="1"/>
        <v>0</v>
      </c>
      <c r="K124" s="28">
        <f t="shared" si="2"/>
        <v>0</v>
      </c>
      <c r="L124" s="29" t="s">
        <v>62</v>
      </c>
      <c r="Z124" s="28">
        <f t="shared" si="3"/>
        <v>0</v>
      </c>
      <c r="AB124" s="28">
        <f t="shared" si="4"/>
        <v>0</v>
      </c>
      <c r="AC124" s="28">
        <f t="shared" si="5"/>
        <v>0</v>
      </c>
      <c r="AD124" s="28">
        <f t="shared" si="6"/>
        <v>0</v>
      </c>
      <c r="AE124" s="28">
        <f t="shared" si="7"/>
        <v>0</v>
      </c>
      <c r="AF124" s="28">
        <f t="shared" si="8"/>
        <v>0</v>
      </c>
      <c r="AG124" s="28">
        <f t="shared" si="9"/>
        <v>0</v>
      </c>
      <c r="AH124" s="28">
        <f t="shared" si="10"/>
        <v>0</v>
      </c>
      <c r="AI124" s="10" t="s">
        <v>54</v>
      </c>
      <c r="AJ124" s="28">
        <f t="shared" si="11"/>
        <v>0</v>
      </c>
      <c r="AK124" s="28">
        <f t="shared" si="12"/>
        <v>0</v>
      </c>
      <c r="AL124" s="28">
        <f t="shared" si="13"/>
        <v>0</v>
      </c>
      <c r="AN124" s="28">
        <v>21</v>
      </c>
      <c r="AO124" s="28">
        <f t="shared" si="14"/>
        <v>0</v>
      </c>
      <c r="AP124" s="28">
        <f t="shared" si="15"/>
        <v>0</v>
      </c>
      <c r="AQ124" s="30" t="s">
        <v>325</v>
      </c>
      <c r="AV124" s="28">
        <f t="shared" si="16"/>
        <v>0</v>
      </c>
      <c r="AW124" s="28">
        <f t="shared" si="17"/>
        <v>0</v>
      </c>
      <c r="AX124" s="28">
        <f t="shared" si="18"/>
        <v>0</v>
      </c>
      <c r="AY124" s="30" t="s">
        <v>326</v>
      </c>
      <c r="AZ124" s="30" t="s">
        <v>327</v>
      </c>
      <c r="BA124" s="10" t="s">
        <v>65</v>
      </c>
      <c r="BC124" s="28">
        <f t="shared" si="19"/>
        <v>0</v>
      </c>
      <c r="BD124" s="28">
        <f t="shared" si="20"/>
        <v>0</v>
      </c>
      <c r="BE124" s="28">
        <v>0</v>
      </c>
      <c r="BF124" s="28">
        <f>124</f>
        <v>124</v>
      </c>
      <c r="BH124" s="28">
        <f t="shared" si="21"/>
        <v>0</v>
      </c>
      <c r="BI124" s="28">
        <f t="shared" si="22"/>
        <v>0</v>
      </c>
      <c r="BJ124" s="28">
        <f t="shared" si="23"/>
        <v>0</v>
      </c>
      <c r="BK124" s="30" t="s">
        <v>320</v>
      </c>
      <c r="BL124" s="28"/>
      <c r="BW124" s="28">
        <v>21</v>
      </c>
      <c r="BX124" s="4" t="s">
        <v>349</v>
      </c>
    </row>
    <row r="125" spans="1:76" x14ac:dyDescent="0.25">
      <c r="A125" s="2" t="s">
        <v>350</v>
      </c>
      <c r="B125" s="3" t="s">
        <v>54</v>
      </c>
      <c r="C125" s="3" t="s">
        <v>351</v>
      </c>
      <c r="D125" s="72" t="s">
        <v>352</v>
      </c>
      <c r="E125" s="67"/>
      <c r="F125" s="3" t="s">
        <v>72</v>
      </c>
      <c r="G125" s="28">
        <v>120</v>
      </c>
      <c r="H125" s="61">
        <v>0</v>
      </c>
      <c r="I125" s="28">
        <f t="shared" si="0"/>
        <v>0</v>
      </c>
      <c r="J125" s="28">
        <f t="shared" si="1"/>
        <v>0</v>
      </c>
      <c r="K125" s="28">
        <f t="shared" si="2"/>
        <v>0</v>
      </c>
      <c r="L125" s="29" t="s">
        <v>62</v>
      </c>
      <c r="Z125" s="28">
        <f t="shared" si="3"/>
        <v>0</v>
      </c>
      <c r="AB125" s="28">
        <f t="shared" si="4"/>
        <v>0</v>
      </c>
      <c r="AC125" s="28">
        <f t="shared" si="5"/>
        <v>0</v>
      </c>
      <c r="AD125" s="28">
        <f t="shared" si="6"/>
        <v>0</v>
      </c>
      <c r="AE125" s="28">
        <f t="shared" si="7"/>
        <v>0</v>
      </c>
      <c r="AF125" s="28">
        <f t="shared" si="8"/>
        <v>0</v>
      </c>
      <c r="AG125" s="28">
        <f t="shared" si="9"/>
        <v>0</v>
      </c>
      <c r="AH125" s="28">
        <f t="shared" si="10"/>
        <v>0</v>
      </c>
      <c r="AI125" s="10" t="s">
        <v>54</v>
      </c>
      <c r="AJ125" s="28">
        <f t="shared" si="11"/>
        <v>0</v>
      </c>
      <c r="AK125" s="28">
        <f t="shared" si="12"/>
        <v>0</v>
      </c>
      <c r="AL125" s="28">
        <f t="shared" si="13"/>
        <v>0</v>
      </c>
      <c r="AN125" s="28">
        <v>21</v>
      </c>
      <c r="AO125" s="28">
        <f t="shared" si="14"/>
        <v>0</v>
      </c>
      <c r="AP125" s="28">
        <f t="shared" si="15"/>
        <v>0</v>
      </c>
      <c r="AQ125" s="30" t="s">
        <v>325</v>
      </c>
      <c r="AV125" s="28">
        <f t="shared" si="16"/>
        <v>0</v>
      </c>
      <c r="AW125" s="28">
        <f t="shared" si="17"/>
        <v>0</v>
      </c>
      <c r="AX125" s="28">
        <f t="shared" si="18"/>
        <v>0</v>
      </c>
      <c r="AY125" s="30" t="s">
        <v>326</v>
      </c>
      <c r="AZ125" s="30" t="s">
        <v>327</v>
      </c>
      <c r="BA125" s="10" t="s">
        <v>65</v>
      </c>
      <c r="BC125" s="28">
        <f t="shared" si="19"/>
        <v>0</v>
      </c>
      <c r="BD125" s="28">
        <f t="shared" si="20"/>
        <v>0</v>
      </c>
      <c r="BE125" s="28">
        <v>0</v>
      </c>
      <c r="BF125" s="28">
        <f>125</f>
        <v>125</v>
      </c>
      <c r="BH125" s="28">
        <f t="shared" si="21"/>
        <v>0</v>
      </c>
      <c r="BI125" s="28">
        <f t="shared" si="22"/>
        <v>0</v>
      </c>
      <c r="BJ125" s="28">
        <f t="shared" si="23"/>
        <v>0</v>
      </c>
      <c r="BK125" s="30" t="s">
        <v>320</v>
      </c>
      <c r="BL125" s="28"/>
      <c r="BW125" s="28">
        <v>21</v>
      </c>
      <c r="BX125" s="4" t="s">
        <v>352</v>
      </c>
    </row>
    <row r="126" spans="1:76" x14ac:dyDescent="0.25">
      <c r="A126" s="2" t="s">
        <v>353</v>
      </c>
      <c r="B126" s="3" t="s">
        <v>54</v>
      </c>
      <c r="C126" s="3" t="s">
        <v>354</v>
      </c>
      <c r="D126" s="72" t="s">
        <v>355</v>
      </c>
      <c r="E126" s="67"/>
      <c r="F126" s="3" t="s">
        <v>343</v>
      </c>
      <c r="G126" s="28">
        <v>8</v>
      </c>
      <c r="H126" s="61">
        <v>0</v>
      </c>
      <c r="I126" s="28">
        <f t="shared" si="0"/>
        <v>0</v>
      </c>
      <c r="J126" s="28">
        <f t="shared" si="1"/>
        <v>0</v>
      </c>
      <c r="K126" s="28">
        <f t="shared" si="2"/>
        <v>0</v>
      </c>
      <c r="L126" s="29" t="s">
        <v>62</v>
      </c>
      <c r="Z126" s="28">
        <f t="shared" si="3"/>
        <v>0</v>
      </c>
      <c r="AB126" s="28">
        <f t="shared" si="4"/>
        <v>0</v>
      </c>
      <c r="AC126" s="28">
        <f t="shared" si="5"/>
        <v>0</v>
      </c>
      <c r="AD126" s="28">
        <f t="shared" si="6"/>
        <v>0</v>
      </c>
      <c r="AE126" s="28">
        <f t="shared" si="7"/>
        <v>0</v>
      </c>
      <c r="AF126" s="28">
        <f t="shared" si="8"/>
        <v>0</v>
      </c>
      <c r="AG126" s="28">
        <f t="shared" si="9"/>
        <v>0</v>
      </c>
      <c r="AH126" s="28">
        <f t="shared" si="10"/>
        <v>0</v>
      </c>
      <c r="AI126" s="10" t="s">
        <v>54</v>
      </c>
      <c r="AJ126" s="28">
        <f t="shared" si="11"/>
        <v>0</v>
      </c>
      <c r="AK126" s="28">
        <f t="shared" si="12"/>
        <v>0</v>
      </c>
      <c r="AL126" s="28">
        <f t="shared" si="13"/>
        <v>0</v>
      </c>
      <c r="AN126" s="28">
        <v>21</v>
      </c>
      <c r="AO126" s="28">
        <f t="shared" si="14"/>
        <v>0</v>
      </c>
      <c r="AP126" s="28">
        <f t="shared" si="15"/>
        <v>0</v>
      </c>
      <c r="AQ126" s="30" t="s">
        <v>325</v>
      </c>
      <c r="AV126" s="28">
        <f t="shared" si="16"/>
        <v>0</v>
      </c>
      <c r="AW126" s="28">
        <f t="shared" si="17"/>
        <v>0</v>
      </c>
      <c r="AX126" s="28">
        <f t="shared" si="18"/>
        <v>0</v>
      </c>
      <c r="AY126" s="30" t="s">
        <v>326</v>
      </c>
      <c r="AZ126" s="30" t="s">
        <v>327</v>
      </c>
      <c r="BA126" s="10" t="s">
        <v>65</v>
      </c>
      <c r="BC126" s="28">
        <f t="shared" si="19"/>
        <v>0</v>
      </c>
      <c r="BD126" s="28">
        <f t="shared" si="20"/>
        <v>0</v>
      </c>
      <c r="BE126" s="28">
        <v>0</v>
      </c>
      <c r="BF126" s="28">
        <f>126</f>
        <v>126</v>
      </c>
      <c r="BH126" s="28">
        <f t="shared" si="21"/>
        <v>0</v>
      </c>
      <c r="BI126" s="28">
        <f t="shared" si="22"/>
        <v>0</v>
      </c>
      <c r="BJ126" s="28">
        <f t="shared" si="23"/>
        <v>0</v>
      </c>
      <c r="BK126" s="30" t="s">
        <v>320</v>
      </c>
      <c r="BL126" s="28"/>
      <c r="BW126" s="28">
        <v>21</v>
      </c>
      <c r="BX126" s="4" t="s">
        <v>355</v>
      </c>
    </row>
    <row r="127" spans="1:76" x14ac:dyDescent="0.25">
      <c r="A127" s="2" t="s">
        <v>356</v>
      </c>
      <c r="B127" s="3" t="s">
        <v>54</v>
      </c>
      <c r="C127" s="3" t="s">
        <v>357</v>
      </c>
      <c r="D127" s="72" t="s">
        <v>358</v>
      </c>
      <c r="E127" s="67"/>
      <c r="F127" s="3" t="s">
        <v>177</v>
      </c>
      <c r="G127" s="28">
        <v>33</v>
      </c>
      <c r="H127" s="61">
        <v>0</v>
      </c>
      <c r="I127" s="28">
        <f t="shared" si="0"/>
        <v>0</v>
      </c>
      <c r="J127" s="28">
        <f t="shared" si="1"/>
        <v>0</v>
      </c>
      <c r="K127" s="28">
        <f t="shared" si="2"/>
        <v>0</v>
      </c>
      <c r="L127" s="29" t="s">
        <v>62</v>
      </c>
      <c r="Z127" s="28">
        <f t="shared" si="3"/>
        <v>0</v>
      </c>
      <c r="AB127" s="28">
        <f t="shared" si="4"/>
        <v>0</v>
      </c>
      <c r="AC127" s="28">
        <f t="shared" si="5"/>
        <v>0</v>
      </c>
      <c r="AD127" s="28">
        <f t="shared" si="6"/>
        <v>0</v>
      </c>
      <c r="AE127" s="28">
        <f t="shared" si="7"/>
        <v>0</v>
      </c>
      <c r="AF127" s="28">
        <f t="shared" si="8"/>
        <v>0</v>
      </c>
      <c r="AG127" s="28">
        <f t="shared" si="9"/>
        <v>0</v>
      </c>
      <c r="AH127" s="28">
        <f t="shared" si="10"/>
        <v>0</v>
      </c>
      <c r="AI127" s="10" t="s">
        <v>54</v>
      </c>
      <c r="AJ127" s="28">
        <f t="shared" si="11"/>
        <v>0</v>
      </c>
      <c r="AK127" s="28">
        <f t="shared" si="12"/>
        <v>0</v>
      </c>
      <c r="AL127" s="28">
        <f t="shared" si="13"/>
        <v>0</v>
      </c>
      <c r="AN127" s="28">
        <v>21</v>
      </c>
      <c r="AO127" s="28">
        <f t="shared" si="14"/>
        <v>0</v>
      </c>
      <c r="AP127" s="28">
        <f t="shared" si="15"/>
        <v>0</v>
      </c>
      <c r="AQ127" s="30" t="s">
        <v>325</v>
      </c>
      <c r="AV127" s="28">
        <f t="shared" si="16"/>
        <v>0</v>
      </c>
      <c r="AW127" s="28">
        <f t="shared" si="17"/>
        <v>0</v>
      </c>
      <c r="AX127" s="28">
        <f t="shared" si="18"/>
        <v>0</v>
      </c>
      <c r="AY127" s="30" t="s">
        <v>326</v>
      </c>
      <c r="AZ127" s="30" t="s">
        <v>327</v>
      </c>
      <c r="BA127" s="10" t="s">
        <v>65</v>
      </c>
      <c r="BC127" s="28">
        <f t="shared" si="19"/>
        <v>0</v>
      </c>
      <c r="BD127" s="28">
        <f t="shared" si="20"/>
        <v>0</v>
      </c>
      <c r="BE127" s="28">
        <v>0</v>
      </c>
      <c r="BF127" s="28">
        <f>127</f>
        <v>127</v>
      </c>
      <c r="BH127" s="28">
        <f t="shared" si="21"/>
        <v>0</v>
      </c>
      <c r="BI127" s="28">
        <f t="shared" si="22"/>
        <v>0</v>
      </c>
      <c r="BJ127" s="28">
        <f t="shared" si="23"/>
        <v>0</v>
      </c>
      <c r="BK127" s="30" t="s">
        <v>320</v>
      </c>
      <c r="BL127" s="28"/>
      <c r="BW127" s="28">
        <v>21</v>
      </c>
      <c r="BX127" s="4" t="s">
        <v>358</v>
      </c>
    </row>
    <row r="128" spans="1:76" x14ac:dyDescent="0.25">
      <c r="A128" s="2" t="s">
        <v>359</v>
      </c>
      <c r="B128" s="3" t="s">
        <v>54</v>
      </c>
      <c r="C128" s="3" t="s">
        <v>360</v>
      </c>
      <c r="D128" s="72" t="s">
        <v>361</v>
      </c>
      <c r="E128" s="67"/>
      <c r="F128" s="3" t="s">
        <v>177</v>
      </c>
      <c r="G128" s="28">
        <v>4</v>
      </c>
      <c r="H128" s="61">
        <v>0</v>
      </c>
      <c r="I128" s="28">
        <f t="shared" si="0"/>
        <v>0</v>
      </c>
      <c r="J128" s="28">
        <f t="shared" si="1"/>
        <v>0</v>
      </c>
      <c r="K128" s="28">
        <f t="shared" si="2"/>
        <v>0</v>
      </c>
      <c r="L128" s="29" t="s">
        <v>62</v>
      </c>
      <c r="Z128" s="28">
        <f t="shared" si="3"/>
        <v>0</v>
      </c>
      <c r="AB128" s="28">
        <f t="shared" si="4"/>
        <v>0</v>
      </c>
      <c r="AC128" s="28">
        <f t="shared" si="5"/>
        <v>0</v>
      </c>
      <c r="AD128" s="28">
        <f t="shared" si="6"/>
        <v>0</v>
      </c>
      <c r="AE128" s="28">
        <f t="shared" si="7"/>
        <v>0</v>
      </c>
      <c r="AF128" s="28">
        <f t="shared" si="8"/>
        <v>0</v>
      </c>
      <c r="AG128" s="28">
        <f t="shared" si="9"/>
        <v>0</v>
      </c>
      <c r="AH128" s="28">
        <f t="shared" si="10"/>
        <v>0</v>
      </c>
      <c r="AI128" s="10" t="s">
        <v>54</v>
      </c>
      <c r="AJ128" s="28">
        <f t="shared" si="11"/>
        <v>0</v>
      </c>
      <c r="AK128" s="28">
        <f t="shared" si="12"/>
        <v>0</v>
      </c>
      <c r="AL128" s="28">
        <f t="shared" si="13"/>
        <v>0</v>
      </c>
      <c r="AN128" s="28">
        <v>21</v>
      </c>
      <c r="AO128" s="28">
        <f t="shared" si="14"/>
        <v>0</v>
      </c>
      <c r="AP128" s="28">
        <f t="shared" si="15"/>
        <v>0</v>
      </c>
      <c r="AQ128" s="30" t="s">
        <v>325</v>
      </c>
      <c r="AV128" s="28">
        <f t="shared" si="16"/>
        <v>0</v>
      </c>
      <c r="AW128" s="28">
        <f t="shared" si="17"/>
        <v>0</v>
      </c>
      <c r="AX128" s="28">
        <f t="shared" si="18"/>
        <v>0</v>
      </c>
      <c r="AY128" s="30" t="s">
        <v>326</v>
      </c>
      <c r="AZ128" s="30" t="s">
        <v>327</v>
      </c>
      <c r="BA128" s="10" t="s">
        <v>65</v>
      </c>
      <c r="BC128" s="28">
        <f t="shared" si="19"/>
        <v>0</v>
      </c>
      <c r="BD128" s="28">
        <f t="shared" si="20"/>
        <v>0</v>
      </c>
      <c r="BE128" s="28">
        <v>0</v>
      </c>
      <c r="BF128" s="28">
        <f>128</f>
        <v>128</v>
      </c>
      <c r="BH128" s="28">
        <f t="shared" si="21"/>
        <v>0</v>
      </c>
      <c r="BI128" s="28">
        <f t="shared" si="22"/>
        <v>0</v>
      </c>
      <c r="BJ128" s="28">
        <f t="shared" si="23"/>
        <v>0</v>
      </c>
      <c r="BK128" s="30" t="s">
        <v>320</v>
      </c>
      <c r="BL128" s="28"/>
      <c r="BW128" s="28">
        <v>21</v>
      </c>
      <c r="BX128" s="4" t="s">
        <v>361</v>
      </c>
    </row>
    <row r="129" spans="1:76" x14ac:dyDescent="0.25">
      <c r="A129" s="2" t="s">
        <v>362</v>
      </c>
      <c r="B129" s="3" t="s">
        <v>54</v>
      </c>
      <c r="C129" s="3" t="s">
        <v>348</v>
      </c>
      <c r="D129" s="72" t="s">
        <v>349</v>
      </c>
      <c r="E129" s="67"/>
      <c r="F129" s="3" t="s">
        <v>225</v>
      </c>
      <c r="G129" s="28">
        <v>6</v>
      </c>
      <c r="H129" s="61">
        <v>0</v>
      </c>
      <c r="I129" s="28">
        <f t="shared" si="0"/>
        <v>0</v>
      </c>
      <c r="J129" s="28">
        <f t="shared" si="1"/>
        <v>0</v>
      </c>
      <c r="K129" s="28">
        <f t="shared" si="2"/>
        <v>0</v>
      </c>
      <c r="L129" s="29" t="s">
        <v>62</v>
      </c>
      <c r="Z129" s="28">
        <f t="shared" si="3"/>
        <v>0</v>
      </c>
      <c r="AB129" s="28">
        <f t="shared" si="4"/>
        <v>0</v>
      </c>
      <c r="AC129" s="28">
        <f t="shared" si="5"/>
        <v>0</v>
      </c>
      <c r="AD129" s="28">
        <f t="shared" si="6"/>
        <v>0</v>
      </c>
      <c r="AE129" s="28">
        <f t="shared" si="7"/>
        <v>0</v>
      </c>
      <c r="AF129" s="28">
        <f t="shared" si="8"/>
        <v>0</v>
      </c>
      <c r="AG129" s="28">
        <f t="shared" si="9"/>
        <v>0</v>
      </c>
      <c r="AH129" s="28">
        <f t="shared" si="10"/>
        <v>0</v>
      </c>
      <c r="AI129" s="10" t="s">
        <v>54</v>
      </c>
      <c r="AJ129" s="28">
        <f t="shared" si="11"/>
        <v>0</v>
      </c>
      <c r="AK129" s="28">
        <f t="shared" si="12"/>
        <v>0</v>
      </c>
      <c r="AL129" s="28">
        <f t="shared" si="13"/>
        <v>0</v>
      </c>
      <c r="AN129" s="28">
        <v>21</v>
      </c>
      <c r="AO129" s="28">
        <f t="shared" si="14"/>
        <v>0</v>
      </c>
      <c r="AP129" s="28">
        <f t="shared" si="15"/>
        <v>0</v>
      </c>
      <c r="AQ129" s="30" t="s">
        <v>325</v>
      </c>
      <c r="AV129" s="28">
        <f t="shared" si="16"/>
        <v>0</v>
      </c>
      <c r="AW129" s="28">
        <f t="shared" si="17"/>
        <v>0</v>
      </c>
      <c r="AX129" s="28">
        <f t="shared" si="18"/>
        <v>0</v>
      </c>
      <c r="AY129" s="30" t="s">
        <v>326</v>
      </c>
      <c r="AZ129" s="30" t="s">
        <v>327</v>
      </c>
      <c r="BA129" s="10" t="s">
        <v>65</v>
      </c>
      <c r="BC129" s="28">
        <f t="shared" si="19"/>
        <v>0</v>
      </c>
      <c r="BD129" s="28">
        <f t="shared" si="20"/>
        <v>0</v>
      </c>
      <c r="BE129" s="28">
        <v>0</v>
      </c>
      <c r="BF129" s="28">
        <f>129</f>
        <v>129</v>
      </c>
      <c r="BH129" s="28">
        <f t="shared" si="21"/>
        <v>0</v>
      </c>
      <c r="BI129" s="28">
        <f t="shared" si="22"/>
        <v>0</v>
      </c>
      <c r="BJ129" s="28">
        <f t="shared" si="23"/>
        <v>0</v>
      </c>
      <c r="BK129" s="30" t="s">
        <v>320</v>
      </c>
      <c r="BL129" s="28"/>
      <c r="BW129" s="28">
        <v>21</v>
      </c>
      <c r="BX129" s="4" t="s">
        <v>349</v>
      </c>
    </row>
    <row r="130" spans="1:76" x14ac:dyDescent="0.25">
      <c r="A130" s="24" t="s">
        <v>53</v>
      </c>
      <c r="B130" s="25" t="s">
        <v>54</v>
      </c>
      <c r="C130" s="25" t="s">
        <v>363</v>
      </c>
      <c r="D130" s="83" t="s">
        <v>364</v>
      </c>
      <c r="E130" s="84"/>
      <c r="F130" s="26" t="s">
        <v>18</v>
      </c>
      <c r="G130" s="26" t="s">
        <v>18</v>
      </c>
      <c r="H130" s="26" t="s">
        <v>18</v>
      </c>
      <c r="I130" s="1">
        <f>I131+I135+I137+I140</f>
        <v>0</v>
      </c>
      <c r="J130" s="1">
        <f>J131+J135+J137+J140</f>
        <v>0</v>
      </c>
      <c r="K130" s="1">
        <f>K131+K135+K137+K140</f>
        <v>0</v>
      </c>
      <c r="L130" s="27" t="s">
        <v>53</v>
      </c>
      <c r="AI130" s="10" t="s">
        <v>54</v>
      </c>
    </row>
    <row r="131" spans="1:76" x14ac:dyDescent="0.25">
      <c r="A131" s="24" t="s">
        <v>53</v>
      </c>
      <c r="B131" s="25" t="s">
        <v>54</v>
      </c>
      <c r="C131" s="25" t="s">
        <v>365</v>
      </c>
      <c r="D131" s="83" t="s">
        <v>366</v>
      </c>
      <c r="E131" s="84"/>
      <c r="F131" s="26" t="s">
        <v>18</v>
      </c>
      <c r="G131" s="26" t="s">
        <v>18</v>
      </c>
      <c r="H131" s="26" t="s">
        <v>18</v>
      </c>
      <c r="I131" s="1">
        <f>SUM(I132:I134)</f>
        <v>0</v>
      </c>
      <c r="J131" s="1">
        <f>SUM(J132:J134)</f>
        <v>0</v>
      </c>
      <c r="K131" s="1">
        <f>SUM(K132:K134)</f>
        <v>0</v>
      </c>
      <c r="L131" s="27" t="s">
        <v>53</v>
      </c>
      <c r="AI131" s="10" t="s">
        <v>54</v>
      </c>
      <c r="AS131" s="1">
        <f>SUM(AJ132:AJ134)</f>
        <v>0</v>
      </c>
      <c r="AT131" s="1">
        <f>SUM(AK132:AK134)</f>
        <v>0</v>
      </c>
      <c r="AU131" s="1">
        <f>SUM(AL132:AL134)</f>
        <v>0</v>
      </c>
    </row>
    <row r="132" spans="1:76" x14ac:dyDescent="0.25">
      <c r="A132" s="2" t="s">
        <v>367</v>
      </c>
      <c r="B132" s="3" t="s">
        <v>54</v>
      </c>
      <c r="C132" s="3" t="s">
        <v>368</v>
      </c>
      <c r="D132" s="72" t="s">
        <v>369</v>
      </c>
      <c r="E132" s="67"/>
      <c r="F132" s="3" t="s">
        <v>370</v>
      </c>
      <c r="G132" s="28">
        <v>1</v>
      </c>
      <c r="H132" s="61">
        <v>0</v>
      </c>
      <c r="I132" s="28">
        <f>ROUND(G132*AO132,2)</f>
        <v>0</v>
      </c>
      <c r="J132" s="28">
        <f>ROUND(G132*AP132,2)</f>
        <v>0</v>
      </c>
      <c r="K132" s="28">
        <f>ROUND(G132*H132,2)</f>
        <v>0</v>
      </c>
      <c r="L132" s="29" t="s">
        <v>62</v>
      </c>
      <c r="Z132" s="28">
        <f>ROUND(IF(AQ132="5",BJ132,0),2)</f>
        <v>0</v>
      </c>
      <c r="AB132" s="28">
        <f>ROUND(IF(AQ132="1",BH132,0),2)</f>
        <v>0</v>
      </c>
      <c r="AC132" s="28">
        <f>ROUND(IF(AQ132="1",BI132,0),2)</f>
        <v>0</v>
      </c>
      <c r="AD132" s="28">
        <f>ROUND(IF(AQ132="7",BH132,0),2)</f>
        <v>0</v>
      </c>
      <c r="AE132" s="28">
        <f>ROUND(IF(AQ132="7",BI132,0),2)</f>
        <v>0</v>
      </c>
      <c r="AF132" s="28">
        <f>ROUND(IF(AQ132="2",BH132,0),2)</f>
        <v>0</v>
      </c>
      <c r="AG132" s="28">
        <f>ROUND(IF(AQ132="2",BI132,0),2)</f>
        <v>0</v>
      </c>
      <c r="AH132" s="28">
        <f>ROUND(IF(AQ132="0",BJ132,0),2)</f>
        <v>0</v>
      </c>
      <c r="AI132" s="10" t="s">
        <v>54</v>
      </c>
      <c r="AJ132" s="28">
        <f>IF(AN132=0,K132,0)</f>
        <v>0</v>
      </c>
      <c r="AK132" s="28">
        <f>IF(AN132=12,K132,0)</f>
        <v>0</v>
      </c>
      <c r="AL132" s="28">
        <f>IF(AN132=21,K132,0)</f>
        <v>0</v>
      </c>
      <c r="AN132" s="28">
        <v>21</v>
      </c>
      <c r="AO132" s="28">
        <f>H132*0</f>
        <v>0</v>
      </c>
      <c r="AP132" s="28">
        <f>H132*(1-0)</f>
        <v>0</v>
      </c>
      <c r="AQ132" s="30" t="s">
        <v>371</v>
      </c>
      <c r="AV132" s="28">
        <f>ROUND(AW132+AX132,2)</f>
        <v>0</v>
      </c>
      <c r="AW132" s="28">
        <f>ROUND(G132*AO132,2)</f>
        <v>0</v>
      </c>
      <c r="AX132" s="28">
        <f>ROUND(G132*AP132,2)</f>
        <v>0</v>
      </c>
      <c r="AY132" s="30" t="s">
        <v>372</v>
      </c>
      <c r="AZ132" s="30" t="s">
        <v>373</v>
      </c>
      <c r="BA132" s="10" t="s">
        <v>65</v>
      </c>
      <c r="BC132" s="28">
        <f>AW132+AX132</f>
        <v>0</v>
      </c>
      <c r="BD132" s="28">
        <f>H132/(100-BE132)*100</f>
        <v>0</v>
      </c>
      <c r="BE132" s="28">
        <v>0</v>
      </c>
      <c r="BF132" s="28">
        <f>132</f>
        <v>132</v>
      </c>
      <c r="BH132" s="28">
        <f>G132*AO132</f>
        <v>0</v>
      </c>
      <c r="BI132" s="28">
        <f>G132*AP132</f>
        <v>0</v>
      </c>
      <c r="BJ132" s="28">
        <f>G132*H132</f>
        <v>0</v>
      </c>
      <c r="BK132" s="30" t="s">
        <v>66</v>
      </c>
      <c r="BL132" s="28"/>
      <c r="BM132" s="28">
        <f>G132*H132</f>
        <v>0</v>
      </c>
      <c r="BW132" s="28">
        <v>21</v>
      </c>
      <c r="BX132" s="4" t="s">
        <v>369</v>
      </c>
    </row>
    <row r="133" spans="1:76" x14ac:dyDescent="0.25">
      <c r="A133" s="2" t="s">
        <v>374</v>
      </c>
      <c r="B133" s="3" t="s">
        <v>54</v>
      </c>
      <c r="C133" s="3" t="s">
        <v>368</v>
      </c>
      <c r="D133" s="72" t="s">
        <v>375</v>
      </c>
      <c r="E133" s="67"/>
      <c r="F133" s="3" t="s">
        <v>370</v>
      </c>
      <c r="G133" s="28">
        <v>1</v>
      </c>
      <c r="H133" s="61">
        <v>0</v>
      </c>
      <c r="I133" s="28">
        <f>ROUND(G133*AO133,2)</f>
        <v>0</v>
      </c>
      <c r="J133" s="28">
        <f>ROUND(G133*AP133,2)</f>
        <v>0</v>
      </c>
      <c r="K133" s="28">
        <f>ROUND(G133*H133,2)</f>
        <v>0</v>
      </c>
      <c r="L133" s="29" t="s">
        <v>62</v>
      </c>
      <c r="Z133" s="28">
        <f>ROUND(IF(AQ133="5",BJ133,0),2)</f>
        <v>0</v>
      </c>
      <c r="AB133" s="28">
        <f>ROUND(IF(AQ133="1",BH133,0),2)</f>
        <v>0</v>
      </c>
      <c r="AC133" s="28">
        <f>ROUND(IF(AQ133="1",BI133,0),2)</f>
        <v>0</v>
      </c>
      <c r="AD133" s="28">
        <f>ROUND(IF(AQ133="7",BH133,0),2)</f>
        <v>0</v>
      </c>
      <c r="AE133" s="28">
        <f>ROUND(IF(AQ133="7",BI133,0),2)</f>
        <v>0</v>
      </c>
      <c r="AF133" s="28">
        <f>ROUND(IF(AQ133="2",BH133,0),2)</f>
        <v>0</v>
      </c>
      <c r="AG133" s="28">
        <f>ROUND(IF(AQ133="2",BI133,0),2)</f>
        <v>0</v>
      </c>
      <c r="AH133" s="28">
        <f>ROUND(IF(AQ133="0",BJ133,0),2)</f>
        <v>0</v>
      </c>
      <c r="AI133" s="10" t="s">
        <v>54</v>
      </c>
      <c r="AJ133" s="28">
        <f>IF(AN133=0,K133,0)</f>
        <v>0</v>
      </c>
      <c r="AK133" s="28">
        <f>IF(AN133=12,K133,0)</f>
        <v>0</v>
      </c>
      <c r="AL133" s="28">
        <f>IF(AN133=21,K133,0)</f>
        <v>0</v>
      </c>
      <c r="AN133" s="28">
        <v>21</v>
      </c>
      <c r="AO133" s="28">
        <f>H133*0</f>
        <v>0</v>
      </c>
      <c r="AP133" s="28">
        <f>H133*(1-0)</f>
        <v>0</v>
      </c>
      <c r="AQ133" s="30" t="s">
        <v>371</v>
      </c>
      <c r="AV133" s="28">
        <f>ROUND(AW133+AX133,2)</f>
        <v>0</v>
      </c>
      <c r="AW133" s="28">
        <f>ROUND(G133*AO133,2)</f>
        <v>0</v>
      </c>
      <c r="AX133" s="28">
        <f>ROUND(G133*AP133,2)</f>
        <v>0</v>
      </c>
      <c r="AY133" s="30" t="s">
        <v>372</v>
      </c>
      <c r="AZ133" s="30" t="s">
        <v>373</v>
      </c>
      <c r="BA133" s="10" t="s">
        <v>65</v>
      </c>
      <c r="BC133" s="28">
        <f>AW133+AX133</f>
        <v>0</v>
      </c>
      <c r="BD133" s="28">
        <f>H133/(100-BE133)*100</f>
        <v>0</v>
      </c>
      <c r="BE133" s="28">
        <v>0</v>
      </c>
      <c r="BF133" s="28">
        <f>133</f>
        <v>133</v>
      </c>
      <c r="BH133" s="28">
        <f>G133*AO133</f>
        <v>0</v>
      </c>
      <c r="BI133" s="28">
        <f>G133*AP133</f>
        <v>0</v>
      </c>
      <c r="BJ133" s="28">
        <f>G133*H133</f>
        <v>0</v>
      </c>
      <c r="BK133" s="30" t="s">
        <v>66</v>
      </c>
      <c r="BL133" s="28"/>
      <c r="BM133" s="28">
        <f>G133*H133</f>
        <v>0</v>
      </c>
      <c r="BW133" s="28">
        <v>21</v>
      </c>
      <c r="BX133" s="4" t="s">
        <v>375</v>
      </c>
    </row>
    <row r="134" spans="1:76" x14ac:dyDescent="0.25">
      <c r="A134" s="2" t="s">
        <v>376</v>
      </c>
      <c r="B134" s="3" t="s">
        <v>54</v>
      </c>
      <c r="C134" s="3" t="s">
        <v>377</v>
      </c>
      <c r="D134" s="72" t="s">
        <v>378</v>
      </c>
      <c r="E134" s="67"/>
      <c r="F134" s="3" t="s">
        <v>370</v>
      </c>
      <c r="G134" s="28">
        <v>1</v>
      </c>
      <c r="H134" s="61">
        <v>0</v>
      </c>
      <c r="I134" s="28">
        <f>ROUND(G134*AO134,2)</f>
        <v>0</v>
      </c>
      <c r="J134" s="28">
        <f>ROUND(G134*AP134,2)</f>
        <v>0</v>
      </c>
      <c r="K134" s="28">
        <f>ROUND(G134*H134,2)</f>
        <v>0</v>
      </c>
      <c r="L134" s="29" t="s">
        <v>62</v>
      </c>
      <c r="Z134" s="28">
        <f>ROUND(IF(AQ134="5",BJ134,0),2)</f>
        <v>0</v>
      </c>
      <c r="AB134" s="28">
        <f>ROUND(IF(AQ134="1",BH134,0),2)</f>
        <v>0</v>
      </c>
      <c r="AC134" s="28">
        <f>ROUND(IF(AQ134="1",BI134,0),2)</f>
        <v>0</v>
      </c>
      <c r="AD134" s="28">
        <f>ROUND(IF(AQ134="7",BH134,0),2)</f>
        <v>0</v>
      </c>
      <c r="AE134" s="28">
        <f>ROUND(IF(AQ134="7",BI134,0),2)</f>
        <v>0</v>
      </c>
      <c r="AF134" s="28">
        <f>ROUND(IF(AQ134="2",BH134,0),2)</f>
        <v>0</v>
      </c>
      <c r="AG134" s="28">
        <f>ROUND(IF(AQ134="2",BI134,0),2)</f>
        <v>0</v>
      </c>
      <c r="AH134" s="28">
        <f>ROUND(IF(AQ134="0",BJ134,0),2)</f>
        <v>0</v>
      </c>
      <c r="AI134" s="10" t="s">
        <v>54</v>
      </c>
      <c r="AJ134" s="28">
        <f>IF(AN134=0,K134,0)</f>
        <v>0</v>
      </c>
      <c r="AK134" s="28">
        <f>IF(AN134=12,K134,0)</f>
        <v>0</v>
      </c>
      <c r="AL134" s="28">
        <f>IF(AN134=21,K134,0)</f>
        <v>0</v>
      </c>
      <c r="AN134" s="28">
        <v>21</v>
      </c>
      <c r="AO134" s="28">
        <f>H134*0</f>
        <v>0</v>
      </c>
      <c r="AP134" s="28">
        <f>H134*(1-0)</f>
        <v>0</v>
      </c>
      <c r="AQ134" s="30" t="s">
        <v>371</v>
      </c>
      <c r="AV134" s="28">
        <f>ROUND(AW134+AX134,2)</f>
        <v>0</v>
      </c>
      <c r="AW134" s="28">
        <f>ROUND(G134*AO134,2)</f>
        <v>0</v>
      </c>
      <c r="AX134" s="28">
        <f>ROUND(G134*AP134,2)</f>
        <v>0</v>
      </c>
      <c r="AY134" s="30" t="s">
        <v>372</v>
      </c>
      <c r="AZ134" s="30" t="s">
        <v>373</v>
      </c>
      <c r="BA134" s="10" t="s">
        <v>65</v>
      </c>
      <c r="BC134" s="28">
        <f>AW134+AX134</f>
        <v>0</v>
      </c>
      <c r="BD134" s="28">
        <f>H134/(100-BE134)*100</f>
        <v>0</v>
      </c>
      <c r="BE134" s="28">
        <v>0</v>
      </c>
      <c r="BF134" s="28">
        <f>134</f>
        <v>134</v>
      </c>
      <c r="BH134" s="28">
        <f>G134*AO134</f>
        <v>0</v>
      </c>
      <c r="BI134" s="28">
        <f>G134*AP134</f>
        <v>0</v>
      </c>
      <c r="BJ134" s="28">
        <f>G134*H134</f>
        <v>0</v>
      </c>
      <c r="BK134" s="30" t="s">
        <v>66</v>
      </c>
      <c r="BL134" s="28"/>
      <c r="BM134" s="28">
        <f>G134*H134</f>
        <v>0</v>
      </c>
      <c r="BW134" s="28">
        <v>21</v>
      </c>
      <c r="BX134" s="4" t="s">
        <v>378</v>
      </c>
    </row>
    <row r="135" spans="1:76" x14ac:dyDescent="0.25">
      <c r="A135" s="24" t="s">
        <v>53</v>
      </c>
      <c r="B135" s="25" t="s">
        <v>54</v>
      </c>
      <c r="C135" s="25" t="s">
        <v>379</v>
      </c>
      <c r="D135" s="83" t="s">
        <v>380</v>
      </c>
      <c r="E135" s="84"/>
      <c r="F135" s="26" t="s">
        <v>18</v>
      </c>
      <c r="G135" s="26" t="s">
        <v>18</v>
      </c>
      <c r="H135" s="26" t="s">
        <v>18</v>
      </c>
      <c r="I135" s="1">
        <f>SUM(I136:I136)</f>
        <v>0</v>
      </c>
      <c r="J135" s="1">
        <f>SUM(J136:J136)</f>
        <v>0</v>
      </c>
      <c r="K135" s="1">
        <f>SUM(K136:K136)</f>
        <v>0</v>
      </c>
      <c r="L135" s="27" t="s">
        <v>53</v>
      </c>
      <c r="AI135" s="10" t="s">
        <v>54</v>
      </c>
      <c r="AS135" s="1">
        <f>SUM(AJ136:AJ136)</f>
        <v>0</v>
      </c>
      <c r="AT135" s="1">
        <f>SUM(AK136:AK136)</f>
        <v>0</v>
      </c>
      <c r="AU135" s="1">
        <f>SUM(AL136:AL136)</f>
        <v>0</v>
      </c>
    </row>
    <row r="136" spans="1:76" x14ac:dyDescent="0.25">
      <c r="A136" s="2" t="s">
        <v>381</v>
      </c>
      <c r="B136" s="3" t="s">
        <v>54</v>
      </c>
      <c r="C136" s="3" t="s">
        <v>382</v>
      </c>
      <c r="D136" s="72" t="s">
        <v>380</v>
      </c>
      <c r="E136" s="67"/>
      <c r="F136" s="3" t="s">
        <v>370</v>
      </c>
      <c r="G136" s="28">
        <v>1</v>
      </c>
      <c r="H136" s="61">
        <v>0</v>
      </c>
      <c r="I136" s="28">
        <f>ROUND(G136*AO136,2)</f>
        <v>0</v>
      </c>
      <c r="J136" s="28">
        <f>ROUND(G136*AP136,2)</f>
        <v>0</v>
      </c>
      <c r="K136" s="28">
        <f>ROUND(G136*H136,2)</f>
        <v>0</v>
      </c>
      <c r="L136" s="29" t="s">
        <v>62</v>
      </c>
      <c r="Z136" s="28">
        <f>ROUND(IF(AQ136="5",BJ136,0),2)</f>
        <v>0</v>
      </c>
      <c r="AB136" s="28">
        <f>ROUND(IF(AQ136="1",BH136,0),2)</f>
        <v>0</v>
      </c>
      <c r="AC136" s="28">
        <f>ROUND(IF(AQ136="1",BI136,0),2)</f>
        <v>0</v>
      </c>
      <c r="AD136" s="28">
        <f>ROUND(IF(AQ136="7",BH136,0),2)</f>
        <v>0</v>
      </c>
      <c r="AE136" s="28">
        <f>ROUND(IF(AQ136="7",BI136,0),2)</f>
        <v>0</v>
      </c>
      <c r="AF136" s="28">
        <f>ROUND(IF(AQ136="2",BH136,0),2)</f>
        <v>0</v>
      </c>
      <c r="AG136" s="28">
        <f>ROUND(IF(AQ136="2",BI136,0),2)</f>
        <v>0</v>
      </c>
      <c r="AH136" s="28">
        <f>ROUND(IF(AQ136="0",BJ136,0),2)</f>
        <v>0</v>
      </c>
      <c r="AI136" s="10" t="s">
        <v>54</v>
      </c>
      <c r="AJ136" s="28">
        <f>IF(AN136=0,K136,0)</f>
        <v>0</v>
      </c>
      <c r="AK136" s="28">
        <f>IF(AN136=12,K136,0)</f>
        <v>0</v>
      </c>
      <c r="AL136" s="28">
        <f>IF(AN136=21,K136,0)</f>
        <v>0</v>
      </c>
      <c r="AN136" s="28">
        <v>21</v>
      </c>
      <c r="AO136" s="28">
        <f>H136*0</f>
        <v>0</v>
      </c>
      <c r="AP136" s="28">
        <f>H136*(1-0)</f>
        <v>0</v>
      </c>
      <c r="AQ136" s="30" t="s">
        <v>371</v>
      </c>
      <c r="AV136" s="28">
        <f>ROUND(AW136+AX136,2)</f>
        <v>0</v>
      </c>
      <c r="AW136" s="28">
        <f>ROUND(G136*AO136,2)</f>
        <v>0</v>
      </c>
      <c r="AX136" s="28">
        <f>ROUND(G136*AP136,2)</f>
        <v>0</v>
      </c>
      <c r="AY136" s="30" t="s">
        <v>383</v>
      </c>
      <c r="AZ136" s="30" t="s">
        <v>373</v>
      </c>
      <c r="BA136" s="10" t="s">
        <v>65</v>
      </c>
      <c r="BC136" s="28">
        <f>AW136+AX136</f>
        <v>0</v>
      </c>
      <c r="BD136" s="28">
        <f>H136/(100-BE136)*100</f>
        <v>0</v>
      </c>
      <c r="BE136" s="28">
        <v>0</v>
      </c>
      <c r="BF136" s="28">
        <f>136</f>
        <v>136</v>
      </c>
      <c r="BH136" s="28">
        <f>G136*AO136</f>
        <v>0</v>
      </c>
      <c r="BI136" s="28">
        <f>G136*AP136</f>
        <v>0</v>
      </c>
      <c r="BJ136" s="28">
        <f>G136*H136</f>
        <v>0</v>
      </c>
      <c r="BK136" s="30" t="s">
        <v>66</v>
      </c>
      <c r="BL136" s="28"/>
      <c r="BO136" s="28">
        <f>G136*H136</f>
        <v>0</v>
      </c>
      <c r="BW136" s="28">
        <v>21</v>
      </c>
      <c r="BX136" s="4" t="s">
        <v>380</v>
      </c>
    </row>
    <row r="137" spans="1:76" x14ac:dyDescent="0.25">
      <c r="A137" s="24" t="s">
        <v>53</v>
      </c>
      <c r="B137" s="25" t="s">
        <v>54</v>
      </c>
      <c r="C137" s="25" t="s">
        <v>384</v>
      </c>
      <c r="D137" s="83" t="s">
        <v>385</v>
      </c>
      <c r="E137" s="84"/>
      <c r="F137" s="26" t="s">
        <v>18</v>
      </c>
      <c r="G137" s="26" t="s">
        <v>18</v>
      </c>
      <c r="H137" s="26" t="s">
        <v>18</v>
      </c>
      <c r="I137" s="1">
        <f>SUM(I138:I139)</f>
        <v>0</v>
      </c>
      <c r="J137" s="1">
        <f>SUM(J138:J139)</f>
        <v>0</v>
      </c>
      <c r="K137" s="1">
        <f>SUM(K138:K139)</f>
        <v>0</v>
      </c>
      <c r="L137" s="27" t="s">
        <v>53</v>
      </c>
      <c r="AI137" s="10" t="s">
        <v>54</v>
      </c>
      <c r="AS137" s="1">
        <f>SUM(AJ138:AJ139)</f>
        <v>0</v>
      </c>
      <c r="AT137" s="1">
        <f>SUM(AK138:AK139)</f>
        <v>0</v>
      </c>
      <c r="AU137" s="1">
        <f>SUM(AL138:AL139)</f>
        <v>0</v>
      </c>
    </row>
    <row r="138" spans="1:76" x14ac:dyDescent="0.25">
      <c r="A138" s="2" t="s">
        <v>386</v>
      </c>
      <c r="B138" s="3" t="s">
        <v>54</v>
      </c>
      <c r="C138" s="3" t="s">
        <v>387</v>
      </c>
      <c r="D138" s="72" t="s">
        <v>388</v>
      </c>
      <c r="E138" s="67"/>
      <c r="F138" s="3" t="s">
        <v>370</v>
      </c>
      <c r="G138" s="28">
        <v>5</v>
      </c>
      <c r="H138" s="61">
        <v>0</v>
      </c>
      <c r="I138" s="28">
        <f>ROUND(G138*AO138,2)</f>
        <v>0</v>
      </c>
      <c r="J138" s="28">
        <f>ROUND(G138*AP138,2)</f>
        <v>0</v>
      </c>
      <c r="K138" s="28">
        <f>ROUND(G138*H138,2)</f>
        <v>0</v>
      </c>
      <c r="L138" s="29" t="s">
        <v>62</v>
      </c>
      <c r="Z138" s="28">
        <f>ROUND(IF(AQ138="5",BJ138,0),2)</f>
        <v>0</v>
      </c>
      <c r="AB138" s="28">
        <f>ROUND(IF(AQ138="1",BH138,0),2)</f>
        <v>0</v>
      </c>
      <c r="AC138" s="28">
        <f>ROUND(IF(AQ138="1",BI138,0),2)</f>
        <v>0</v>
      </c>
      <c r="AD138" s="28">
        <f>ROUND(IF(AQ138="7",BH138,0),2)</f>
        <v>0</v>
      </c>
      <c r="AE138" s="28">
        <f>ROUND(IF(AQ138="7",BI138,0),2)</f>
        <v>0</v>
      </c>
      <c r="AF138" s="28">
        <f>ROUND(IF(AQ138="2",BH138,0),2)</f>
        <v>0</v>
      </c>
      <c r="AG138" s="28">
        <f>ROUND(IF(AQ138="2",BI138,0),2)</f>
        <v>0</v>
      </c>
      <c r="AH138" s="28">
        <f>ROUND(IF(AQ138="0",BJ138,0),2)</f>
        <v>0</v>
      </c>
      <c r="AI138" s="10" t="s">
        <v>54</v>
      </c>
      <c r="AJ138" s="28">
        <f>IF(AN138=0,K138,0)</f>
        <v>0</v>
      </c>
      <c r="AK138" s="28">
        <f>IF(AN138=12,K138,0)</f>
        <v>0</v>
      </c>
      <c r="AL138" s="28">
        <f>IF(AN138=21,K138,0)</f>
        <v>0</v>
      </c>
      <c r="AN138" s="28">
        <v>21</v>
      </c>
      <c r="AO138" s="28">
        <f>H138*0</f>
        <v>0</v>
      </c>
      <c r="AP138" s="28">
        <f>H138*(1-0)</f>
        <v>0</v>
      </c>
      <c r="AQ138" s="30" t="s">
        <v>371</v>
      </c>
      <c r="AV138" s="28">
        <f>ROUND(AW138+AX138,2)</f>
        <v>0</v>
      </c>
      <c r="AW138" s="28">
        <f>ROUND(G138*AO138,2)</f>
        <v>0</v>
      </c>
      <c r="AX138" s="28">
        <f>ROUND(G138*AP138,2)</f>
        <v>0</v>
      </c>
      <c r="AY138" s="30" t="s">
        <v>389</v>
      </c>
      <c r="AZ138" s="30" t="s">
        <v>373</v>
      </c>
      <c r="BA138" s="10" t="s">
        <v>65</v>
      </c>
      <c r="BC138" s="28">
        <f>AW138+AX138</f>
        <v>0</v>
      </c>
      <c r="BD138" s="28">
        <f>H138/(100-BE138)*100</f>
        <v>0</v>
      </c>
      <c r="BE138" s="28">
        <v>0</v>
      </c>
      <c r="BF138" s="28">
        <f>138</f>
        <v>138</v>
      </c>
      <c r="BH138" s="28">
        <f>G138*AO138</f>
        <v>0</v>
      </c>
      <c r="BI138" s="28">
        <f>G138*AP138</f>
        <v>0</v>
      </c>
      <c r="BJ138" s="28">
        <f>G138*H138</f>
        <v>0</v>
      </c>
      <c r="BK138" s="30" t="s">
        <v>66</v>
      </c>
      <c r="BL138" s="28"/>
      <c r="BP138" s="28">
        <f>G138*H138</f>
        <v>0</v>
      </c>
      <c r="BW138" s="28">
        <v>21</v>
      </c>
      <c r="BX138" s="4" t="s">
        <v>388</v>
      </c>
    </row>
    <row r="139" spans="1:76" x14ac:dyDescent="0.25">
      <c r="A139" s="2" t="s">
        <v>390</v>
      </c>
      <c r="B139" s="3" t="s">
        <v>54</v>
      </c>
      <c r="C139" s="3" t="s">
        <v>387</v>
      </c>
      <c r="D139" s="72" t="s">
        <v>391</v>
      </c>
      <c r="E139" s="67"/>
      <c r="F139" s="3" t="s">
        <v>370</v>
      </c>
      <c r="G139" s="28">
        <v>1</v>
      </c>
      <c r="H139" s="61">
        <v>0</v>
      </c>
      <c r="I139" s="28">
        <f>ROUND(G139*AO139,2)</f>
        <v>0</v>
      </c>
      <c r="J139" s="28">
        <f>ROUND(G139*AP139,2)</f>
        <v>0</v>
      </c>
      <c r="K139" s="28">
        <f>ROUND(G139*H139,2)</f>
        <v>0</v>
      </c>
      <c r="L139" s="29" t="s">
        <v>62</v>
      </c>
      <c r="Z139" s="28">
        <f>ROUND(IF(AQ139="5",BJ139,0),2)</f>
        <v>0</v>
      </c>
      <c r="AB139" s="28">
        <f>ROUND(IF(AQ139="1",BH139,0),2)</f>
        <v>0</v>
      </c>
      <c r="AC139" s="28">
        <f>ROUND(IF(AQ139="1",BI139,0),2)</f>
        <v>0</v>
      </c>
      <c r="AD139" s="28">
        <f>ROUND(IF(AQ139="7",BH139,0),2)</f>
        <v>0</v>
      </c>
      <c r="AE139" s="28">
        <f>ROUND(IF(AQ139="7",BI139,0),2)</f>
        <v>0</v>
      </c>
      <c r="AF139" s="28">
        <f>ROUND(IF(AQ139="2",BH139,0),2)</f>
        <v>0</v>
      </c>
      <c r="AG139" s="28">
        <f>ROUND(IF(AQ139="2",BI139,0),2)</f>
        <v>0</v>
      </c>
      <c r="AH139" s="28">
        <f>ROUND(IF(AQ139="0",BJ139,0),2)</f>
        <v>0</v>
      </c>
      <c r="AI139" s="10" t="s">
        <v>54</v>
      </c>
      <c r="AJ139" s="28">
        <f>IF(AN139=0,K139,0)</f>
        <v>0</v>
      </c>
      <c r="AK139" s="28">
        <f>IF(AN139=12,K139,0)</f>
        <v>0</v>
      </c>
      <c r="AL139" s="28">
        <f>IF(AN139=21,K139,0)</f>
        <v>0</v>
      </c>
      <c r="AN139" s="28">
        <v>21</v>
      </c>
      <c r="AO139" s="28">
        <f>H139*0</f>
        <v>0</v>
      </c>
      <c r="AP139" s="28">
        <f>H139*(1-0)</f>
        <v>0</v>
      </c>
      <c r="AQ139" s="30" t="s">
        <v>371</v>
      </c>
      <c r="AV139" s="28">
        <f>ROUND(AW139+AX139,2)</f>
        <v>0</v>
      </c>
      <c r="AW139" s="28">
        <f>ROUND(G139*AO139,2)</f>
        <v>0</v>
      </c>
      <c r="AX139" s="28">
        <f>ROUND(G139*AP139,2)</f>
        <v>0</v>
      </c>
      <c r="AY139" s="30" t="s">
        <v>389</v>
      </c>
      <c r="AZ139" s="30" t="s">
        <v>373</v>
      </c>
      <c r="BA139" s="10" t="s">
        <v>65</v>
      </c>
      <c r="BC139" s="28">
        <f>AW139+AX139</f>
        <v>0</v>
      </c>
      <c r="BD139" s="28">
        <f>H139/(100-BE139)*100</f>
        <v>0</v>
      </c>
      <c r="BE139" s="28">
        <v>0</v>
      </c>
      <c r="BF139" s="28">
        <f>139</f>
        <v>139</v>
      </c>
      <c r="BH139" s="28">
        <f>G139*AO139</f>
        <v>0</v>
      </c>
      <c r="BI139" s="28">
        <f>G139*AP139</f>
        <v>0</v>
      </c>
      <c r="BJ139" s="28">
        <f>G139*H139</f>
        <v>0</v>
      </c>
      <c r="BK139" s="30" t="s">
        <v>66</v>
      </c>
      <c r="BL139" s="28"/>
      <c r="BP139" s="28">
        <f>G139*H139</f>
        <v>0</v>
      </c>
      <c r="BW139" s="28">
        <v>21</v>
      </c>
      <c r="BX139" s="4" t="s">
        <v>391</v>
      </c>
    </row>
    <row r="140" spans="1:76" x14ac:dyDescent="0.25">
      <c r="A140" s="24" t="s">
        <v>53</v>
      </c>
      <c r="B140" s="25" t="s">
        <v>54</v>
      </c>
      <c r="C140" s="25" t="s">
        <v>392</v>
      </c>
      <c r="D140" s="83" t="s">
        <v>393</v>
      </c>
      <c r="E140" s="84"/>
      <c r="F140" s="26" t="s">
        <v>18</v>
      </c>
      <c r="G140" s="26" t="s">
        <v>18</v>
      </c>
      <c r="H140" s="26" t="s">
        <v>18</v>
      </c>
      <c r="I140" s="1">
        <f>SUM(I141:I141)</f>
        <v>0</v>
      </c>
      <c r="J140" s="1">
        <f>SUM(J141:J141)</f>
        <v>0</v>
      </c>
      <c r="K140" s="1">
        <f>SUM(K141:K141)</f>
        <v>0</v>
      </c>
      <c r="L140" s="27" t="s">
        <v>53</v>
      </c>
      <c r="AI140" s="10" t="s">
        <v>54</v>
      </c>
      <c r="AS140" s="1">
        <f>SUM(AJ141:AJ141)</f>
        <v>0</v>
      </c>
      <c r="AT140" s="1">
        <f>SUM(AK141:AK141)</f>
        <v>0</v>
      </c>
      <c r="AU140" s="1">
        <f>SUM(AL141:AL141)</f>
        <v>0</v>
      </c>
    </row>
    <row r="141" spans="1:76" x14ac:dyDescent="0.25">
      <c r="A141" s="33" t="s">
        <v>394</v>
      </c>
      <c r="B141" s="34" t="s">
        <v>54</v>
      </c>
      <c r="C141" s="34" t="s">
        <v>395</v>
      </c>
      <c r="D141" s="95" t="s">
        <v>396</v>
      </c>
      <c r="E141" s="96"/>
      <c r="F141" s="34" t="s">
        <v>370</v>
      </c>
      <c r="G141" s="35">
        <v>1</v>
      </c>
      <c r="H141" s="62">
        <v>0</v>
      </c>
      <c r="I141" s="35">
        <f>ROUND(G141*AO141,2)</f>
        <v>0</v>
      </c>
      <c r="J141" s="35">
        <f>ROUND(G141*AP141,2)</f>
        <v>0</v>
      </c>
      <c r="K141" s="35">
        <f>ROUND(G141*H141,2)</f>
        <v>0</v>
      </c>
      <c r="L141" s="36" t="s">
        <v>62</v>
      </c>
      <c r="Z141" s="28">
        <f>ROUND(IF(AQ141="5",BJ141,0),2)</f>
        <v>0</v>
      </c>
      <c r="AB141" s="28">
        <f>ROUND(IF(AQ141="1",BH141,0),2)</f>
        <v>0</v>
      </c>
      <c r="AC141" s="28">
        <f>ROUND(IF(AQ141="1",BI141,0),2)</f>
        <v>0</v>
      </c>
      <c r="AD141" s="28">
        <f>ROUND(IF(AQ141="7",BH141,0),2)</f>
        <v>0</v>
      </c>
      <c r="AE141" s="28">
        <f>ROUND(IF(AQ141="7",BI141,0),2)</f>
        <v>0</v>
      </c>
      <c r="AF141" s="28">
        <f>ROUND(IF(AQ141="2",BH141,0),2)</f>
        <v>0</v>
      </c>
      <c r="AG141" s="28">
        <f>ROUND(IF(AQ141="2",BI141,0),2)</f>
        <v>0</v>
      </c>
      <c r="AH141" s="28">
        <f>ROUND(IF(AQ141="0",BJ141,0),2)</f>
        <v>0</v>
      </c>
      <c r="AI141" s="10" t="s">
        <v>54</v>
      </c>
      <c r="AJ141" s="28">
        <f>IF(AN141=0,K141,0)</f>
        <v>0</v>
      </c>
      <c r="AK141" s="28">
        <f>IF(AN141=12,K141,0)</f>
        <v>0</v>
      </c>
      <c r="AL141" s="28">
        <f>IF(AN141=21,K141,0)</f>
        <v>0</v>
      </c>
      <c r="AN141" s="28">
        <v>21</v>
      </c>
      <c r="AO141" s="28">
        <f>H141*0</f>
        <v>0</v>
      </c>
      <c r="AP141" s="28">
        <f>H141*(1-0)</f>
        <v>0</v>
      </c>
      <c r="AQ141" s="30" t="s">
        <v>371</v>
      </c>
      <c r="AV141" s="28">
        <f>ROUND(AW141+AX141,2)</f>
        <v>0</v>
      </c>
      <c r="AW141" s="28">
        <f>ROUND(G141*AO141,2)</f>
        <v>0</v>
      </c>
      <c r="AX141" s="28">
        <f>ROUND(G141*AP141,2)</f>
        <v>0</v>
      </c>
      <c r="AY141" s="30" t="s">
        <v>397</v>
      </c>
      <c r="AZ141" s="30" t="s">
        <v>373</v>
      </c>
      <c r="BA141" s="10" t="s">
        <v>65</v>
      </c>
      <c r="BC141" s="28">
        <f>AW141+AX141</f>
        <v>0</v>
      </c>
      <c r="BD141" s="28">
        <f>H141/(100-BE141)*100</f>
        <v>0</v>
      </c>
      <c r="BE141" s="28">
        <v>0</v>
      </c>
      <c r="BF141" s="28">
        <f>141</f>
        <v>141</v>
      </c>
      <c r="BH141" s="28">
        <f>G141*AO141</f>
        <v>0</v>
      </c>
      <c r="BI141" s="28">
        <f>G141*AP141</f>
        <v>0</v>
      </c>
      <c r="BJ141" s="28">
        <f>G141*H141</f>
        <v>0</v>
      </c>
      <c r="BK141" s="30" t="s">
        <v>66</v>
      </c>
      <c r="BL141" s="28"/>
      <c r="BS141" s="28">
        <f>G141*H141</f>
        <v>0</v>
      </c>
      <c r="BW141" s="28">
        <v>21</v>
      </c>
      <c r="BX141" s="4" t="s">
        <v>396</v>
      </c>
    </row>
    <row r="142" spans="1:76" x14ac:dyDescent="0.25">
      <c r="I142" s="97" t="s">
        <v>398</v>
      </c>
      <c r="J142" s="97"/>
      <c r="K142" s="37">
        <f>ROUND(K13+K23+K28+K33+K35+K37+K40+K42+K49+K56+K61+K63+K69+K79+K81+K83+K85+K89+K91+K102+K110+K116+K131+K135+K137+K140,2)</f>
        <v>0</v>
      </c>
    </row>
    <row r="143" spans="1:76" x14ac:dyDescent="0.25">
      <c r="A143" s="38" t="s">
        <v>399</v>
      </c>
    </row>
    <row r="144" spans="1:76" ht="12.75" customHeight="1" x14ac:dyDescent="0.25">
      <c r="A144" s="72" t="s">
        <v>53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</row>
  </sheetData>
  <sheetProtection algorithmName="SHA-512" hashValue="KEjgEAhwju+83Xp7GndqMJj7FeD3tN8dsGOvyOWyD8D3GV+difVQeW6GjD/ZO1nrHGlqWVQY6bROb+ZUExBWPw==" saltValue="sWfcNAzNJpINS9INidiYvQ==" spinCount="100000" sheet="1" objects="1" scenarios="1"/>
  <mergeCells count="160">
    <mergeCell ref="D140:E140"/>
    <mergeCell ref="D141:E141"/>
    <mergeCell ref="I142:J142"/>
    <mergeCell ref="A144:L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L100"/>
    <mergeCell ref="D101:E101"/>
    <mergeCell ref="D102:E102"/>
    <mergeCell ref="D103:E103"/>
    <mergeCell ref="D104:L104"/>
    <mergeCell ref="D95:E95"/>
    <mergeCell ref="D96:E96"/>
    <mergeCell ref="D97:E97"/>
    <mergeCell ref="D98:L98"/>
    <mergeCell ref="D99:E99"/>
    <mergeCell ref="D90:E90"/>
    <mergeCell ref="D91:E91"/>
    <mergeCell ref="D92:E92"/>
    <mergeCell ref="D93:L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L77"/>
    <mergeCell ref="D78:E78"/>
    <mergeCell ref="D79:E79"/>
    <mergeCell ref="D70:E70"/>
    <mergeCell ref="D71:L71"/>
    <mergeCell ref="D72:E72"/>
    <mergeCell ref="D73:L73"/>
    <mergeCell ref="D74:E74"/>
    <mergeCell ref="D65:L65"/>
    <mergeCell ref="D66:E66"/>
    <mergeCell ref="D67:E67"/>
    <mergeCell ref="D68:E68"/>
    <mergeCell ref="D69:E69"/>
    <mergeCell ref="D60:L60"/>
    <mergeCell ref="D61:E61"/>
    <mergeCell ref="D62:E62"/>
    <mergeCell ref="D63:E63"/>
    <mergeCell ref="D64:E64"/>
    <mergeCell ref="D55:E55"/>
    <mergeCell ref="D56:E56"/>
    <mergeCell ref="D57:E57"/>
    <mergeCell ref="D58:L58"/>
    <mergeCell ref="D59:E59"/>
    <mergeCell ref="D50:E50"/>
    <mergeCell ref="D51:L51"/>
    <mergeCell ref="D52:E52"/>
    <mergeCell ref="D53:L53"/>
    <mergeCell ref="D54:E54"/>
    <mergeCell ref="D45:E45"/>
    <mergeCell ref="D46:L46"/>
    <mergeCell ref="D47:E47"/>
    <mergeCell ref="D48:L48"/>
    <mergeCell ref="D49:E49"/>
    <mergeCell ref="D40:E40"/>
    <mergeCell ref="D41:E41"/>
    <mergeCell ref="D42:E42"/>
    <mergeCell ref="D43:E43"/>
    <mergeCell ref="D44:L44"/>
    <mergeCell ref="D35:E35"/>
    <mergeCell ref="D36:E36"/>
    <mergeCell ref="D37:E37"/>
    <mergeCell ref="D38:E38"/>
    <mergeCell ref="D39:E39"/>
    <mergeCell ref="D30:L30"/>
    <mergeCell ref="D31:E31"/>
    <mergeCell ref="D32:L32"/>
    <mergeCell ref="D33:E33"/>
    <mergeCell ref="D34:E34"/>
    <mergeCell ref="D25:L25"/>
    <mergeCell ref="D26:E26"/>
    <mergeCell ref="D27:L27"/>
    <mergeCell ref="D28:E28"/>
    <mergeCell ref="D29:E29"/>
    <mergeCell ref="D20:E20"/>
    <mergeCell ref="D21:E21"/>
    <mergeCell ref="D22:E22"/>
    <mergeCell ref="D23:E23"/>
    <mergeCell ref="D24:E24"/>
    <mergeCell ref="D15:L15"/>
    <mergeCell ref="D16:E16"/>
    <mergeCell ref="D17:L17"/>
    <mergeCell ref="D18:E18"/>
    <mergeCell ref="D19:L19"/>
    <mergeCell ref="D11:E11"/>
    <mergeCell ref="I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workbookViewId="0">
      <selection sqref="A1:XFD104857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98" t="s">
        <v>400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4" t="s">
        <v>1</v>
      </c>
      <c r="B2" s="65"/>
      <c r="C2" s="73" t="str">
        <f>'Stavební rozpočet'!D2</f>
        <v>Stavební úprava parkoviště ul. Čapkova - Bílina</v>
      </c>
      <c r="D2" s="74"/>
      <c r="E2" s="71" t="s">
        <v>5</v>
      </c>
      <c r="F2" s="71" t="str">
        <f>'Stavební rozpočet'!J2</f>
        <v> </v>
      </c>
      <c r="G2" s="65"/>
      <c r="H2" s="71" t="s">
        <v>401</v>
      </c>
      <c r="I2" s="85" t="s">
        <v>53</v>
      </c>
    </row>
    <row r="3" spans="1:9" ht="15" customHeight="1" x14ac:dyDescent="0.25">
      <c r="A3" s="66"/>
      <c r="B3" s="67"/>
      <c r="C3" s="75"/>
      <c r="D3" s="75"/>
      <c r="E3" s="67"/>
      <c r="F3" s="67"/>
      <c r="G3" s="67"/>
      <c r="H3" s="67"/>
      <c r="I3" s="86"/>
    </row>
    <row r="4" spans="1:9" x14ac:dyDescent="0.25">
      <c r="A4" s="68" t="s">
        <v>7</v>
      </c>
      <c r="B4" s="67"/>
      <c r="C4" s="72" t="str">
        <f>'Stavební rozpočet'!D4</f>
        <v>stavební úprava</v>
      </c>
      <c r="D4" s="67"/>
      <c r="E4" s="72" t="s">
        <v>11</v>
      </c>
      <c r="F4" s="72" t="str">
        <f>'Stavební rozpočet'!J4</f>
        <v>Bau-projekt spol .s.r.o.</v>
      </c>
      <c r="G4" s="67"/>
      <c r="H4" s="72" t="s">
        <v>401</v>
      </c>
      <c r="I4" s="86" t="s">
        <v>53</v>
      </c>
    </row>
    <row r="5" spans="1:9" ht="15" customHeight="1" x14ac:dyDescent="0.25">
      <c r="A5" s="66"/>
      <c r="B5" s="67"/>
      <c r="C5" s="67"/>
      <c r="D5" s="67"/>
      <c r="E5" s="67"/>
      <c r="F5" s="67"/>
      <c r="G5" s="67"/>
      <c r="H5" s="67"/>
      <c r="I5" s="86"/>
    </row>
    <row r="6" spans="1:9" x14ac:dyDescent="0.25">
      <c r="A6" s="68" t="s">
        <v>13</v>
      </c>
      <c r="B6" s="67"/>
      <c r="C6" s="72" t="str">
        <f>'Stavební rozpočet'!D6</f>
        <v>Bílina ul. Čapkova</v>
      </c>
      <c r="D6" s="67"/>
      <c r="E6" s="72" t="s">
        <v>16</v>
      </c>
      <c r="F6" s="72" t="str">
        <f>'Stavební rozpočet'!J6</f>
        <v> </v>
      </c>
      <c r="G6" s="67"/>
      <c r="H6" s="72" t="s">
        <v>401</v>
      </c>
      <c r="I6" s="86" t="s">
        <v>53</v>
      </c>
    </row>
    <row r="7" spans="1:9" ht="15" customHeight="1" x14ac:dyDescent="0.25">
      <c r="A7" s="66"/>
      <c r="B7" s="67"/>
      <c r="C7" s="67"/>
      <c r="D7" s="67"/>
      <c r="E7" s="67"/>
      <c r="F7" s="67"/>
      <c r="G7" s="67"/>
      <c r="H7" s="67"/>
      <c r="I7" s="86"/>
    </row>
    <row r="8" spans="1:9" x14ac:dyDescent="0.25">
      <c r="A8" s="68" t="s">
        <v>9</v>
      </c>
      <c r="B8" s="67"/>
      <c r="C8" s="72" t="str">
        <f>'Stavební rozpočet'!H4</f>
        <v>01.04.2026</v>
      </c>
      <c r="D8" s="67"/>
      <c r="E8" s="72" t="s">
        <v>15</v>
      </c>
      <c r="F8" s="72">
        <f>'Stavební rozpočet'!H6</f>
        <v>0</v>
      </c>
      <c r="G8" s="67"/>
      <c r="H8" s="67" t="s">
        <v>402</v>
      </c>
      <c r="I8" s="99">
        <v>80</v>
      </c>
    </row>
    <row r="9" spans="1:9" x14ac:dyDescent="0.25">
      <c r="A9" s="66"/>
      <c r="B9" s="67"/>
      <c r="C9" s="67"/>
      <c r="D9" s="67"/>
      <c r="E9" s="67"/>
      <c r="F9" s="67"/>
      <c r="G9" s="67"/>
      <c r="H9" s="67"/>
      <c r="I9" s="86"/>
    </row>
    <row r="10" spans="1:9" x14ac:dyDescent="0.25">
      <c r="A10" s="68" t="s">
        <v>17</v>
      </c>
      <c r="B10" s="67"/>
      <c r="C10" s="72" t="str">
        <f>'Stavební rozpočet'!D8</f>
        <v xml:space="preserve"> </v>
      </c>
      <c r="D10" s="67"/>
      <c r="E10" s="72" t="s">
        <v>21</v>
      </c>
      <c r="F10" s="72" t="str">
        <f>'Stavební rozpočet'!J8</f>
        <v>Bc. Jan Hyliš</v>
      </c>
      <c r="G10" s="67"/>
      <c r="H10" s="67" t="s">
        <v>403</v>
      </c>
      <c r="I10" s="100" t="str">
        <f>'Stavební rozpočet'!H8</f>
        <v>26.05.2025</v>
      </c>
    </row>
    <row r="11" spans="1:9" x14ac:dyDescent="0.25">
      <c r="A11" s="105"/>
      <c r="B11" s="96"/>
      <c r="C11" s="96"/>
      <c r="D11" s="96"/>
      <c r="E11" s="96"/>
      <c r="F11" s="96"/>
      <c r="G11" s="96"/>
      <c r="H11" s="96"/>
      <c r="I11" s="101"/>
    </row>
    <row r="12" spans="1:9" ht="23.25" x14ac:dyDescent="0.25">
      <c r="A12" s="102" t="s">
        <v>404</v>
      </c>
      <c r="B12" s="102"/>
      <c r="C12" s="102"/>
      <c r="D12" s="102"/>
      <c r="E12" s="102"/>
      <c r="F12" s="102"/>
      <c r="G12" s="102"/>
      <c r="H12" s="102"/>
      <c r="I12" s="102"/>
    </row>
    <row r="13" spans="1:9" ht="26.25" customHeight="1" x14ac:dyDescent="0.25">
      <c r="A13" s="39" t="s">
        <v>405</v>
      </c>
      <c r="B13" s="103" t="s">
        <v>406</v>
      </c>
      <c r="C13" s="104"/>
      <c r="D13" s="40" t="s">
        <v>407</v>
      </c>
      <c r="E13" s="103" t="s">
        <v>408</v>
      </c>
      <c r="F13" s="104"/>
      <c r="G13" s="40" t="s">
        <v>409</v>
      </c>
      <c r="H13" s="103" t="s">
        <v>410</v>
      </c>
      <c r="I13" s="104"/>
    </row>
    <row r="14" spans="1:9" ht="15.75" x14ac:dyDescent="0.25">
      <c r="A14" s="41" t="s">
        <v>411</v>
      </c>
      <c r="B14" s="42" t="s">
        <v>412</v>
      </c>
      <c r="C14" s="43">
        <f>SUM('Stavební rozpočet'!AB12:AB282)</f>
        <v>0</v>
      </c>
      <c r="D14" s="112" t="s">
        <v>413</v>
      </c>
      <c r="E14" s="113"/>
      <c r="F14" s="43">
        <f>VORN!I15</f>
        <v>0</v>
      </c>
      <c r="G14" s="112" t="s">
        <v>380</v>
      </c>
      <c r="H14" s="113"/>
      <c r="I14" s="44">
        <f>VORN!I21</f>
        <v>0</v>
      </c>
    </row>
    <row r="15" spans="1:9" ht="15.75" x14ac:dyDescent="0.25">
      <c r="A15" s="45" t="s">
        <v>53</v>
      </c>
      <c r="B15" s="42" t="s">
        <v>38</v>
      </c>
      <c r="C15" s="43">
        <f>SUM('Stavební rozpočet'!AC12:AC282)</f>
        <v>0</v>
      </c>
      <c r="D15" s="112" t="s">
        <v>414</v>
      </c>
      <c r="E15" s="113"/>
      <c r="F15" s="43">
        <f>VORN!I16</f>
        <v>0</v>
      </c>
      <c r="G15" s="112" t="s">
        <v>415</v>
      </c>
      <c r="H15" s="113"/>
      <c r="I15" s="44">
        <f>VORN!I22</f>
        <v>0</v>
      </c>
    </row>
    <row r="16" spans="1:9" ht="15.75" x14ac:dyDescent="0.25">
      <c r="A16" s="41" t="s">
        <v>416</v>
      </c>
      <c r="B16" s="42" t="s">
        <v>412</v>
      </c>
      <c r="C16" s="43">
        <f>SUM('Stavební rozpočet'!AD12:AD282)</f>
        <v>0</v>
      </c>
      <c r="D16" s="112" t="s">
        <v>417</v>
      </c>
      <c r="E16" s="113"/>
      <c r="F16" s="43">
        <f>VORN!I17</f>
        <v>0</v>
      </c>
      <c r="G16" s="112" t="s">
        <v>418</v>
      </c>
      <c r="H16" s="113"/>
      <c r="I16" s="44">
        <f>VORN!I23</f>
        <v>0</v>
      </c>
    </row>
    <row r="17" spans="1:9" ht="15.75" x14ac:dyDescent="0.25">
      <c r="A17" s="45" t="s">
        <v>53</v>
      </c>
      <c r="B17" s="42" t="s">
        <v>38</v>
      </c>
      <c r="C17" s="43">
        <f>SUM('Stavební rozpočet'!AE12:AE282)</f>
        <v>0</v>
      </c>
      <c r="D17" s="112" t="s">
        <v>53</v>
      </c>
      <c r="E17" s="113"/>
      <c r="F17" s="44" t="s">
        <v>53</v>
      </c>
      <c r="G17" s="112" t="s">
        <v>393</v>
      </c>
      <c r="H17" s="113"/>
      <c r="I17" s="44">
        <f>VORN!I24</f>
        <v>0</v>
      </c>
    </row>
    <row r="18" spans="1:9" ht="15.75" x14ac:dyDescent="0.25">
      <c r="A18" s="41" t="s">
        <v>419</v>
      </c>
      <c r="B18" s="42" t="s">
        <v>412</v>
      </c>
      <c r="C18" s="43">
        <f>SUM('Stavební rozpočet'!AF12:AF282)</f>
        <v>0</v>
      </c>
      <c r="D18" s="112" t="s">
        <v>53</v>
      </c>
      <c r="E18" s="113"/>
      <c r="F18" s="44" t="s">
        <v>53</v>
      </c>
      <c r="G18" s="112" t="s">
        <v>420</v>
      </c>
      <c r="H18" s="113"/>
      <c r="I18" s="44">
        <f>VORN!I25</f>
        <v>0</v>
      </c>
    </row>
    <row r="19" spans="1:9" ht="15.75" x14ac:dyDescent="0.25">
      <c r="A19" s="45" t="s">
        <v>53</v>
      </c>
      <c r="B19" s="42" t="s">
        <v>38</v>
      </c>
      <c r="C19" s="43">
        <f>SUM('Stavební rozpočet'!AG12:AG282)</f>
        <v>0</v>
      </c>
      <c r="D19" s="112" t="s">
        <v>53</v>
      </c>
      <c r="E19" s="113"/>
      <c r="F19" s="44" t="s">
        <v>53</v>
      </c>
      <c r="G19" s="112" t="s">
        <v>421</v>
      </c>
      <c r="H19" s="113"/>
      <c r="I19" s="44">
        <f>VORN!I26</f>
        <v>0</v>
      </c>
    </row>
    <row r="20" spans="1:9" ht="15.75" x14ac:dyDescent="0.25">
      <c r="A20" s="106" t="s">
        <v>321</v>
      </c>
      <c r="B20" s="107"/>
      <c r="C20" s="43">
        <f>SUM('Stavební rozpočet'!AH12:AH282)</f>
        <v>0</v>
      </c>
      <c r="D20" s="112" t="s">
        <v>53</v>
      </c>
      <c r="E20" s="113"/>
      <c r="F20" s="44" t="s">
        <v>53</v>
      </c>
      <c r="G20" s="112" t="s">
        <v>53</v>
      </c>
      <c r="H20" s="113"/>
      <c r="I20" s="44" t="s">
        <v>53</v>
      </c>
    </row>
    <row r="21" spans="1:9" ht="15.75" x14ac:dyDescent="0.25">
      <c r="A21" s="108" t="s">
        <v>422</v>
      </c>
      <c r="B21" s="109"/>
      <c r="C21" s="46">
        <f>SUM('Stavební rozpočet'!Z12:Z282)</f>
        <v>0</v>
      </c>
      <c r="D21" s="114" t="s">
        <v>53</v>
      </c>
      <c r="E21" s="115"/>
      <c r="F21" s="47" t="s">
        <v>53</v>
      </c>
      <c r="G21" s="114" t="s">
        <v>53</v>
      </c>
      <c r="H21" s="115"/>
      <c r="I21" s="47" t="s">
        <v>53</v>
      </c>
    </row>
    <row r="22" spans="1:9" ht="16.5" customHeight="1" x14ac:dyDescent="0.25">
      <c r="A22" s="110" t="s">
        <v>423</v>
      </c>
      <c r="B22" s="111"/>
      <c r="C22" s="48">
        <f>ROUND(SUM(C14:C21),2)</f>
        <v>0</v>
      </c>
      <c r="D22" s="116" t="s">
        <v>424</v>
      </c>
      <c r="E22" s="111"/>
      <c r="F22" s="48">
        <f>SUM(F14:F21)</f>
        <v>0</v>
      </c>
      <c r="G22" s="116" t="s">
        <v>425</v>
      </c>
      <c r="H22" s="111"/>
      <c r="I22" s="48">
        <f>SUM(I14:I21)</f>
        <v>0</v>
      </c>
    </row>
    <row r="23" spans="1:9" ht="15.75" x14ac:dyDescent="0.25">
      <c r="D23" s="106" t="s">
        <v>426</v>
      </c>
      <c r="E23" s="107"/>
      <c r="F23" s="49">
        <v>0</v>
      </c>
      <c r="G23" s="117" t="s">
        <v>427</v>
      </c>
      <c r="H23" s="107"/>
      <c r="I23" s="43">
        <v>0</v>
      </c>
    </row>
    <row r="24" spans="1:9" ht="15.75" x14ac:dyDescent="0.25">
      <c r="G24" s="106" t="s">
        <v>428</v>
      </c>
      <c r="H24" s="107"/>
      <c r="I24" s="46">
        <f>vorn_sum</f>
        <v>0</v>
      </c>
    </row>
    <row r="25" spans="1:9" ht="15.75" x14ac:dyDescent="0.25">
      <c r="G25" s="106" t="s">
        <v>429</v>
      </c>
      <c r="H25" s="107"/>
      <c r="I25" s="48">
        <v>0</v>
      </c>
    </row>
    <row r="27" spans="1:9" ht="15.75" x14ac:dyDescent="0.25">
      <c r="A27" s="118" t="s">
        <v>430</v>
      </c>
      <c r="B27" s="119"/>
      <c r="C27" s="50">
        <f>ROUND(SUM('Stavební rozpočet'!AJ12:AJ282),2)</f>
        <v>0</v>
      </c>
    </row>
    <row r="28" spans="1:9" ht="15.75" x14ac:dyDescent="0.25">
      <c r="A28" s="120" t="s">
        <v>431</v>
      </c>
      <c r="B28" s="121"/>
      <c r="C28" s="51">
        <f>ROUND(SUM('Stavební rozpočet'!AK12:AK282),2)</f>
        <v>0</v>
      </c>
      <c r="D28" s="122" t="s">
        <v>432</v>
      </c>
      <c r="E28" s="119"/>
      <c r="F28" s="50">
        <f>ROUND(C28*(12/100),2)</f>
        <v>0</v>
      </c>
      <c r="G28" s="122" t="s">
        <v>433</v>
      </c>
      <c r="H28" s="119"/>
      <c r="I28" s="50">
        <f>ROUND(SUM(C27:C29),2)</f>
        <v>0</v>
      </c>
    </row>
    <row r="29" spans="1:9" ht="15.75" x14ac:dyDescent="0.25">
      <c r="A29" s="120" t="s">
        <v>434</v>
      </c>
      <c r="B29" s="121"/>
      <c r="C29" s="51">
        <f>ROUND(SUM('Stavební rozpočet'!AL12:AL282),2)</f>
        <v>0</v>
      </c>
      <c r="D29" s="123" t="s">
        <v>435</v>
      </c>
      <c r="E29" s="121"/>
      <c r="F29" s="51">
        <f>ROUND(C29*(21/100),2)</f>
        <v>0</v>
      </c>
      <c r="G29" s="123" t="s">
        <v>436</v>
      </c>
      <c r="H29" s="121"/>
      <c r="I29" s="51">
        <f>ROUND(SUM(F28:F29)+I28,2)</f>
        <v>0</v>
      </c>
    </row>
    <row r="31" spans="1:9" x14ac:dyDescent="0.25">
      <c r="A31" s="133" t="s">
        <v>437</v>
      </c>
      <c r="B31" s="125"/>
      <c r="C31" s="126"/>
      <c r="D31" s="124" t="s">
        <v>438</v>
      </c>
      <c r="E31" s="125"/>
      <c r="F31" s="126"/>
      <c r="G31" s="124" t="s">
        <v>439</v>
      </c>
      <c r="H31" s="125"/>
      <c r="I31" s="126"/>
    </row>
    <row r="32" spans="1:9" x14ac:dyDescent="0.25">
      <c r="A32" s="134" t="s">
        <v>53</v>
      </c>
      <c r="B32" s="128"/>
      <c r="C32" s="129"/>
      <c r="D32" s="127" t="s">
        <v>53</v>
      </c>
      <c r="E32" s="128"/>
      <c r="F32" s="129"/>
      <c r="G32" s="127" t="s">
        <v>53</v>
      </c>
      <c r="H32" s="128"/>
      <c r="I32" s="129"/>
    </row>
    <row r="33" spans="1:9" x14ac:dyDescent="0.25">
      <c r="A33" s="134" t="s">
        <v>53</v>
      </c>
      <c r="B33" s="128"/>
      <c r="C33" s="129"/>
      <c r="D33" s="127" t="s">
        <v>53</v>
      </c>
      <c r="E33" s="128"/>
      <c r="F33" s="129"/>
      <c r="G33" s="127" t="s">
        <v>53</v>
      </c>
      <c r="H33" s="128"/>
      <c r="I33" s="129"/>
    </row>
    <row r="34" spans="1:9" x14ac:dyDescent="0.25">
      <c r="A34" s="134" t="s">
        <v>53</v>
      </c>
      <c r="B34" s="128"/>
      <c r="C34" s="129"/>
      <c r="D34" s="127" t="s">
        <v>53</v>
      </c>
      <c r="E34" s="128"/>
      <c r="F34" s="129"/>
      <c r="G34" s="127" t="s">
        <v>53</v>
      </c>
      <c r="H34" s="128"/>
      <c r="I34" s="129"/>
    </row>
    <row r="35" spans="1:9" x14ac:dyDescent="0.25">
      <c r="A35" s="135" t="s">
        <v>440</v>
      </c>
      <c r="B35" s="131"/>
      <c r="C35" s="132"/>
      <c r="D35" s="130" t="s">
        <v>440</v>
      </c>
      <c r="E35" s="131"/>
      <c r="F35" s="132"/>
      <c r="G35" s="130" t="s">
        <v>440</v>
      </c>
      <c r="H35" s="131"/>
      <c r="I35" s="132"/>
    </row>
    <row r="36" spans="1:9" x14ac:dyDescent="0.25">
      <c r="A36" s="52" t="s">
        <v>399</v>
      </c>
    </row>
    <row r="37" spans="1:9" ht="12.75" customHeight="1" x14ac:dyDescent="0.25">
      <c r="A37" s="72" t="s">
        <v>53</v>
      </c>
      <c r="B37" s="67"/>
      <c r="C37" s="67"/>
      <c r="D37" s="67"/>
      <c r="E37" s="67"/>
      <c r="F37" s="67"/>
      <c r="G37" s="67"/>
      <c r="H37" s="67"/>
      <c r="I37" s="67"/>
    </row>
  </sheetData>
  <sheetProtection algorithmName="SHA-512" hashValue="Q2XtZ1cvwFxrYcPIsEv8lg5d1+FoCKUUroBw3LveeivsEwD0u6F6iZACWTQ9xo1uB9oPN16COBYzha9IejaZMQ==" saltValue="hpjuKe5DD6iRqLIo9yMOEA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98" t="s">
        <v>364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4" t="s">
        <v>1</v>
      </c>
      <c r="B2" s="65"/>
      <c r="C2" s="73" t="str">
        <f>'Stavební rozpočet'!D2</f>
        <v>Stavební úprava parkoviště ul. Čapkova - Bílina</v>
      </c>
      <c r="D2" s="74"/>
      <c r="E2" s="71" t="s">
        <v>5</v>
      </c>
      <c r="F2" s="71" t="str">
        <f>'Stavební rozpočet'!J2</f>
        <v> </v>
      </c>
      <c r="G2" s="65"/>
      <c r="H2" s="71" t="s">
        <v>401</v>
      </c>
      <c r="I2" s="85" t="s">
        <v>53</v>
      </c>
    </row>
    <row r="3" spans="1:9" ht="15" customHeight="1" x14ac:dyDescent="0.25">
      <c r="A3" s="66"/>
      <c r="B3" s="67"/>
      <c r="C3" s="75"/>
      <c r="D3" s="75"/>
      <c r="E3" s="67"/>
      <c r="F3" s="67"/>
      <c r="G3" s="67"/>
      <c r="H3" s="67"/>
      <c r="I3" s="86"/>
    </row>
    <row r="4" spans="1:9" x14ac:dyDescent="0.25">
      <c r="A4" s="68" t="s">
        <v>7</v>
      </c>
      <c r="B4" s="67"/>
      <c r="C4" s="72" t="str">
        <f>'Stavební rozpočet'!D4</f>
        <v>stavební úprava</v>
      </c>
      <c r="D4" s="67"/>
      <c r="E4" s="72" t="s">
        <v>11</v>
      </c>
      <c r="F4" s="72" t="str">
        <f>'Stavební rozpočet'!J4</f>
        <v>Bau-projekt spol .s.r.o.</v>
      </c>
      <c r="G4" s="67"/>
      <c r="H4" s="72" t="s">
        <v>401</v>
      </c>
      <c r="I4" s="86" t="s">
        <v>53</v>
      </c>
    </row>
    <row r="5" spans="1:9" ht="15" customHeight="1" x14ac:dyDescent="0.25">
      <c r="A5" s="66"/>
      <c r="B5" s="67"/>
      <c r="C5" s="67"/>
      <c r="D5" s="67"/>
      <c r="E5" s="67"/>
      <c r="F5" s="67"/>
      <c r="G5" s="67"/>
      <c r="H5" s="67"/>
      <c r="I5" s="86"/>
    </row>
    <row r="6" spans="1:9" x14ac:dyDescent="0.25">
      <c r="A6" s="68" t="s">
        <v>13</v>
      </c>
      <c r="B6" s="67"/>
      <c r="C6" s="72" t="str">
        <f>'Stavební rozpočet'!D6</f>
        <v>Bílina ul. Čapkova</v>
      </c>
      <c r="D6" s="67"/>
      <c r="E6" s="72" t="s">
        <v>16</v>
      </c>
      <c r="F6" s="72" t="str">
        <f>'Stavební rozpočet'!J6</f>
        <v> </v>
      </c>
      <c r="G6" s="67"/>
      <c r="H6" s="72" t="s">
        <v>401</v>
      </c>
      <c r="I6" s="86" t="s">
        <v>53</v>
      </c>
    </row>
    <row r="7" spans="1:9" ht="15" customHeight="1" x14ac:dyDescent="0.25">
      <c r="A7" s="66"/>
      <c r="B7" s="67"/>
      <c r="C7" s="67"/>
      <c r="D7" s="67"/>
      <c r="E7" s="67"/>
      <c r="F7" s="67"/>
      <c r="G7" s="67"/>
      <c r="H7" s="67"/>
      <c r="I7" s="86"/>
    </row>
    <row r="8" spans="1:9" x14ac:dyDescent="0.25">
      <c r="A8" s="68" t="s">
        <v>9</v>
      </c>
      <c r="B8" s="67"/>
      <c r="C8" s="72" t="str">
        <f>'Stavební rozpočet'!H4</f>
        <v>01.04.2026</v>
      </c>
      <c r="D8" s="67"/>
      <c r="E8" s="72" t="s">
        <v>15</v>
      </c>
      <c r="F8" s="72">
        <f>'Stavební rozpočet'!H6</f>
        <v>0</v>
      </c>
      <c r="G8" s="67"/>
      <c r="H8" s="67" t="s">
        <v>402</v>
      </c>
      <c r="I8" s="99">
        <v>80</v>
      </c>
    </row>
    <row r="9" spans="1:9" x14ac:dyDescent="0.25">
      <c r="A9" s="66"/>
      <c r="B9" s="67"/>
      <c r="C9" s="67"/>
      <c r="D9" s="67"/>
      <c r="E9" s="67"/>
      <c r="F9" s="67"/>
      <c r="G9" s="67"/>
      <c r="H9" s="67"/>
      <c r="I9" s="86"/>
    </row>
    <row r="10" spans="1:9" x14ac:dyDescent="0.25">
      <c r="A10" s="68" t="s">
        <v>17</v>
      </c>
      <c r="B10" s="67"/>
      <c r="C10" s="72" t="str">
        <f>'Stavební rozpočet'!D8</f>
        <v xml:space="preserve"> </v>
      </c>
      <c r="D10" s="67"/>
      <c r="E10" s="72" t="s">
        <v>21</v>
      </c>
      <c r="F10" s="72" t="str">
        <f>'Stavební rozpočet'!J8</f>
        <v>Bc. Jan Hyliš</v>
      </c>
      <c r="G10" s="67"/>
      <c r="H10" s="67" t="s">
        <v>403</v>
      </c>
      <c r="I10" s="100" t="str">
        <f>'Stavební rozpočet'!H8</f>
        <v>26.05.2025</v>
      </c>
    </row>
    <row r="11" spans="1:9" x14ac:dyDescent="0.25">
      <c r="A11" s="105"/>
      <c r="B11" s="96"/>
      <c r="C11" s="96"/>
      <c r="D11" s="96"/>
      <c r="E11" s="96"/>
      <c r="F11" s="96"/>
      <c r="G11" s="96"/>
      <c r="H11" s="96"/>
      <c r="I11" s="101"/>
    </row>
    <row r="13" spans="1:9" ht="15.75" x14ac:dyDescent="0.25">
      <c r="A13" s="136" t="s">
        <v>441</v>
      </c>
      <c r="B13" s="136"/>
      <c r="C13" s="136"/>
      <c r="D13" s="136"/>
      <c r="E13" s="136"/>
    </row>
    <row r="14" spans="1:9" x14ac:dyDescent="0.25">
      <c r="A14" s="137" t="s">
        <v>442</v>
      </c>
      <c r="B14" s="138"/>
      <c r="C14" s="138"/>
      <c r="D14" s="138"/>
      <c r="E14" s="139"/>
      <c r="F14" s="53" t="s">
        <v>443</v>
      </c>
      <c r="G14" s="53" t="s">
        <v>444</v>
      </c>
      <c r="H14" s="53" t="s">
        <v>445</v>
      </c>
      <c r="I14" s="53" t="s">
        <v>443</v>
      </c>
    </row>
    <row r="15" spans="1:9" x14ac:dyDescent="0.25">
      <c r="A15" s="140" t="s">
        <v>413</v>
      </c>
      <c r="B15" s="141"/>
      <c r="C15" s="141"/>
      <c r="D15" s="141"/>
      <c r="E15" s="142"/>
      <c r="F15" s="54">
        <v>0</v>
      </c>
      <c r="G15" s="55" t="s">
        <v>53</v>
      </c>
      <c r="H15" s="55" t="s">
        <v>53</v>
      </c>
      <c r="I15" s="54">
        <f>F15</f>
        <v>0</v>
      </c>
    </row>
    <row r="16" spans="1:9" x14ac:dyDescent="0.25">
      <c r="A16" s="140" t="s">
        <v>414</v>
      </c>
      <c r="B16" s="141"/>
      <c r="C16" s="141"/>
      <c r="D16" s="141"/>
      <c r="E16" s="142"/>
      <c r="F16" s="54">
        <v>0</v>
      </c>
      <c r="G16" s="55" t="s">
        <v>53</v>
      </c>
      <c r="H16" s="55" t="s">
        <v>53</v>
      </c>
      <c r="I16" s="54">
        <f>F16</f>
        <v>0</v>
      </c>
    </row>
    <row r="17" spans="1:9" x14ac:dyDescent="0.25">
      <c r="A17" s="143" t="s">
        <v>417</v>
      </c>
      <c r="B17" s="144"/>
      <c r="C17" s="144"/>
      <c r="D17" s="144"/>
      <c r="E17" s="145"/>
      <c r="F17" s="56">
        <v>0</v>
      </c>
      <c r="G17" s="57" t="s">
        <v>53</v>
      </c>
      <c r="H17" s="57" t="s">
        <v>53</v>
      </c>
      <c r="I17" s="56">
        <f>F17</f>
        <v>0</v>
      </c>
    </row>
    <row r="18" spans="1:9" x14ac:dyDescent="0.25">
      <c r="A18" s="146" t="s">
        <v>446</v>
      </c>
      <c r="B18" s="147"/>
      <c r="C18" s="147"/>
      <c r="D18" s="147"/>
      <c r="E18" s="148"/>
      <c r="F18" s="58" t="s">
        <v>53</v>
      </c>
      <c r="G18" s="59" t="s">
        <v>53</v>
      </c>
      <c r="H18" s="59" t="s">
        <v>53</v>
      </c>
      <c r="I18" s="60">
        <f>SUM(I15:I17)</f>
        <v>0</v>
      </c>
    </row>
    <row r="20" spans="1:9" x14ac:dyDescent="0.25">
      <c r="A20" s="137" t="s">
        <v>410</v>
      </c>
      <c r="B20" s="138"/>
      <c r="C20" s="138"/>
      <c r="D20" s="138"/>
      <c r="E20" s="139"/>
      <c r="F20" s="53" t="s">
        <v>443</v>
      </c>
      <c r="G20" s="53" t="s">
        <v>444</v>
      </c>
      <c r="H20" s="53" t="s">
        <v>445</v>
      </c>
      <c r="I20" s="53" t="s">
        <v>443</v>
      </c>
    </row>
    <row r="21" spans="1:9" x14ac:dyDescent="0.25">
      <c r="A21" s="140" t="s">
        <v>380</v>
      </c>
      <c r="B21" s="141"/>
      <c r="C21" s="141"/>
      <c r="D21" s="141"/>
      <c r="E21" s="142"/>
      <c r="F21" s="54">
        <v>0</v>
      </c>
      <c r="G21" s="55" t="s">
        <v>53</v>
      </c>
      <c r="H21" s="55" t="s">
        <v>53</v>
      </c>
      <c r="I21" s="54">
        <f t="shared" ref="I21:I26" si="0">F21</f>
        <v>0</v>
      </c>
    </row>
    <row r="22" spans="1:9" x14ac:dyDescent="0.25">
      <c r="A22" s="140" t="s">
        <v>415</v>
      </c>
      <c r="B22" s="141"/>
      <c r="C22" s="141"/>
      <c r="D22" s="141"/>
      <c r="E22" s="142"/>
      <c r="F22" s="54">
        <v>0</v>
      </c>
      <c r="G22" s="55" t="s">
        <v>53</v>
      </c>
      <c r="H22" s="55" t="s">
        <v>53</v>
      </c>
      <c r="I22" s="54">
        <f t="shared" si="0"/>
        <v>0</v>
      </c>
    </row>
    <row r="23" spans="1:9" x14ac:dyDescent="0.25">
      <c r="A23" s="140" t="s">
        <v>418</v>
      </c>
      <c r="B23" s="141"/>
      <c r="C23" s="141"/>
      <c r="D23" s="141"/>
      <c r="E23" s="142"/>
      <c r="F23" s="54">
        <v>0</v>
      </c>
      <c r="G23" s="55" t="s">
        <v>53</v>
      </c>
      <c r="H23" s="55" t="s">
        <v>53</v>
      </c>
      <c r="I23" s="54">
        <f t="shared" si="0"/>
        <v>0</v>
      </c>
    </row>
    <row r="24" spans="1:9" x14ac:dyDescent="0.25">
      <c r="A24" s="140" t="s">
        <v>393</v>
      </c>
      <c r="B24" s="141"/>
      <c r="C24" s="141"/>
      <c r="D24" s="141"/>
      <c r="E24" s="142"/>
      <c r="F24" s="54">
        <v>0</v>
      </c>
      <c r="G24" s="55" t="s">
        <v>53</v>
      </c>
      <c r="H24" s="55" t="s">
        <v>53</v>
      </c>
      <c r="I24" s="54">
        <f t="shared" si="0"/>
        <v>0</v>
      </c>
    </row>
    <row r="25" spans="1:9" x14ac:dyDescent="0.25">
      <c r="A25" s="140" t="s">
        <v>420</v>
      </c>
      <c r="B25" s="141"/>
      <c r="C25" s="141"/>
      <c r="D25" s="141"/>
      <c r="E25" s="142"/>
      <c r="F25" s="54">
        <v>0</v>
      </c>
      <c r="G25" s="55" t="s">
        <v>53</v>
      </c>
      <c r="H25" s="55" t="s">
        <v>53</v>
      </c>
      <c r="I25" s="54">
        <f t="shared" si="0"/>
        <v>0</v>
      </c>
    </row>
    <row r="26" spans="1:9" x14ac:dyDescent="0.25">
      <c r="A26" s="143" t="s">
        <v>421</v>
      </c>
      <c r="B26" s="144"/>
      <c r="C26" s="144"/>
      <c r="D26" s="144"/>
      <c r="E26" s="145"/>
      <c r="F26" s="56">
        <v>0</v>
      </c>
      <c r="G26" s="57" t="s">
        <v>53</v>
      </c>
      <c r="H26" s="57" t="s">
        <v>53</v>
      </c>
      <c r="I26" s="56">
        <f t="shared" si="0"/>
        <v>0</v>
      </c>
    </row>
    <row r="27" spans="1:9" x14ac:dyDescent="0.25">
      <c r="A27" s="146" t="s">
        <v>447</v>
      </c>
      <c r="B27" s="147"/>
      <c r="C27" s="147"/>
      <c r="D27" s="147"/>
      <c r="E27" s="148"/>
      <c r="F27" s="58" t="s">
        <v>53</v>
      </c>
      <c r="G27" s="59" t="s">
        <v>53</v>
      </c>
      <c r="H27" s="59" t="s">
        <v>53</v>
      </c>
      <c r="I27" s="60">
        <f>SUM(I21:I26)</f>
        <v>0</v>
      </c>
    </row>
    <row r="29" spans="1:9" ht="15.75" x14ac:dyDescent="0.25">
      <c r="A29" s="149" t="s">
        <v>448</v>
      </c>
      <c r="B29" s="150"/>
      <c r="C29" s="150"/>
      <c r="D29" s="150"/>
      <c r="E29" s="151"/>
      <c r="F29" s="152">
        <f>I18+I27</f>
        <v>0</v>
      </c>
      <c r="G29" s="153"/>
      <c r="H29" s="153"/>
      <c r="I29" s="154"/>
    </row>
    <row r="33" spans="1:9" ht="15.75" x14ac:dyDescent="0.25">
      <c r="A33" s="136" t="s">
        <v>449</v>
      </c>
      <c r="B33" s="136"/>
      <c r="C33" s="136"/>
      <c r="D33" s="136"/>
      <c r="E33" s="136"/>
    </row>
    <row r="34" spans="1:9" x14ac:dyDescent="0.25">
      <c r="A34" s="137" t="s">
        <v>450</v>
      </c>
      <c r="B34" s="138"/>
      <c r="C34" s="138"/>
      <c r="D34" s="138"/>
      <c r="E34" s="139"/>
      <c r="F34" s="53" t="s">
        <v>443</v>
      </c>
      <c r="G34" s="53" t="s">
        <v>444</v>
      </c>
      <c r="H34" s="53" t="s">
        <v>445</v>
      </c>
      <c r="I34" s="53" t="s">
        <v>443</v>
      </c>
    </row>
    <row r="35" spans="1:9" x14ac:dyDescent="0.25">
      <c r="A35" s="140" t="s">
        <v>366</v>
      </c>
      <c r="B35" s="141"/>
      <c r="C35" s="141"/>
      <c r="D35" s="141"/>
      <c r="E35" s="142"/>
      <c r="F35" s="54">
        <f>SUM('Stavební rozpočet'!BM12:BM282)</f>
        <v>0</v>
      </c>
      <c r="G35" s="55" t="s">
        <v>53</v>
      </c>
      <c r="H35" s="55" t="s">
        <v>53</v>
      </c>
      <c r="I35" s="54">
        <f t="shared" ref="I35:I44" si="1">F35</f>
        <v>0</v>
      </c>
    </row>
    <row r="36" spans="1:9" x14ac:dyDescent="0.25">
      <c r="A36" s="140" t="s">
        <v>451</v>
      </c>
      <c r="B36" s="141"/>
      <c r="C36" s="141"/>
      <c r="D36" s="141"/>
      <c r="E36" s="142"/>
      <c r="F36" s="54">
        <f>SUM('Stavební rozpočet'!BN12:BN282)</f>
        <v>0</v>
      </c>
      <c r="G36" s="55" t="s">
        <v>53</v>
      </c>
      <c r="H36" s="55" t="s">
        <v>53</v>
      </c>
      <c r="I36" s="54">
        <f t="shared" si="1"/>
        <v>0</v>
      </c>
    </row>
    <row r="37" spans="1:9" x14ac:dyDescent="0.25">
      <c r="A37" s="140" t="s">
        <v>380</v>
      </c>
      <c r="B37" s="141"/>
      <c r="C37" s="141"/>
      <c r="D37" s="141"/>
      <c r="E37" s="142"/>
      <c r="F37" s="54">
        <f>SUM('Stavební rozpočet'!BO12:BO282)</f>
        <v>0</v>
      </c>
      <c r="G37" s="55" t="s">
        <v>53</v>
      </c>
      <c r="H37" s="55" t="s">
        <v>53</v>
      </c>
      <c r="I37" s="54">
        <f t="shared" si="1"/>
        <v>0</v>
      </c>
    </row>
    <row r="38" spans="1:9" x14ac:dyDescent="0.25">
      <c r="A38" s="140" t="s">
        <v>385</v>
      </c>
      <c r="B38" s="141"/>
      <c r="C38" s="141"/>
      <c r="D38" s="141"/>
      <c r="E38" s="142"/>
      <c r="F38" s="54">
        <f>SUM('Stavební rozpočet'!BP12:BP282)</f>
        <v>0</v>
      </c>
      <c r="G38" s="55" t="s">
        <v>53</v>
      </c>
      <c r="H38" s="55" t="s">
        <v>53</v>
      </c>
      <c r="I38" s="54">
        <f t="shared" si="1"/>
        <v>0</v>
      </c>
    </row>
    <row r="39" spans="1:9" x14ac:dyDescent="0.25">
      <c r="A39" s="140" t="s">
        <v>452</v>
      </c>
      <c r="B39" s="141"/>
      <c r="C39" s="141"/>
      <c r="D39" s="141"/>
      <c r="E39" s="142"/>
      <c r="F39" s="54">
        <f>SUM('Stavební rozpočet'!BQ12:BQ282)</f>
        <v>0</v>
      </c>
      <c r="G39" s="55" t="s">
        <v>53</v>
      </c>
      <c r="H39" s="55" t="s">
        <v>53</v>
      </c>
      <c r="I39" s="54">
        <f t="shared" si="1"/>
        <v>0</v>
      </c>
    </row>
    <row r="40" spans="1:9" x14ac:dyDescent="0.25">
      <c r="A40" s="140" t="s">
        <v>418</v>
      </c>
      <c r="B40" s="141"/>
      <c r="C40" s="141"/>
      <c r="D40" s="141"/>
      <c r="E40" s="142"/>
      <c r="F40" s="54">
        <f>SUM('Stavební rozpočet'!BR12:BR282)</f>
        <v>0</v>
      </c>
      <c r="G40" s="55" t="s">
        <v>53</v>
      </c>
      <c r="H40" s="55" t="s">
        <v>53</v>
      </c>
      <c r="I40" s="54">
        <f t="shared" si="1"/>
        <v>0</v>
      </c>
    </row>
    <row r="41" spans="1:9" x14ac:dyDescent="0.25">
      <c r="A41" s="140" t="s">
        <v>393</v>
      </c>
      <c r="B41" s="141"/>
      <c r="C41" s="141"/>
      <c r="D41" s="141"/>
      <c r="E41" s="142"/>
      <c r="F41" s="54">
        <f>SUM('Stavební rozpočet'!BS12:BS282)</f>
        <v>0</v>
      </c>
      <c r="G41" s="55" t="s">
        <v>53</v>
      </c>
      <c r="H41" s="55" t="s">
        <v>53</v>
      </c>
      <c r="I41" s="54">
        <f t="shared" si="1"/>
        <v>0</v>
      </c>
    </row>
    <row r="42" spans="1:9" x14ac:dyDescent="0.25">
      <c r="A42" s="140" t="s">
        <v>453</v>
      </c>
      <c r="B42" s="141"/>
      <c r="C42" s="141"/>
      <c r="D42" s="141"/>
      <c r="E42" s="142"/>
      <c r="F42" s="54">
        <f>SUM('Stavební rozpočet'!BT12:BT282)</f>
        <v>0</v>
      </c>
      <c r="G42" s="55" t="s">
        <v>53</v>
      </c>
      <c r="H42" s="55" t="s">
        <v>53</v>
      </c>
      <c r="I42" s="54">
        <f t="shared" si="1"/>
        <v>0</v>
      </c>
    </row>
    <row r="43" spans="1:9" x14ac:dyDescent="0.25">
      <c r="A43" s="140" t="s">
        <v>454</v>
      </c>
      <c r="B43" s="141"/>
      <c r="C43" s="141"/>
      <c r="D43" s="141"/>
      <c r="E43" s="142"/>
      <c r="F43" s="54">
        <f>SUM('Stavební rozpočet'!BU12:BU282)</f>
        <v>0</v>
      </c>
      <c r="G43" s="55" t="s">
        <v>53</v>
      </c>
      <c r="H43" s="55" t="s">
        <v>53</v>
      </c>
      <c r="I43" s="54">
        <f t="shared" si="1"/>
        <v>0</v>
      </c>
    </row>
    <row r="44" spans="1:9" x14ac:dyDescent="0.25">
      <c r="A44" s="143" t="s">
        <v>455</v>
      </c>
      <c r="B44" s="144"/>
      <c r="C44" s="144"/>
      <c r="D44" s="144"/>
      <c r="E44" s="145"/>
      <c r="F44" s="56">
        <f>SUM('Stavební rozpočet'!BV12:BV282)</f>
        <v>0</v>
      </c>
      <c r="G44" s="57" t="s">
        <v>53</v>
      </c>
      <c r="H44" s="57" t="s">
        <v>53</v>
      </c>
      <c r="I44" s="56">
        <f t="shared" si="1"/>
        <v>0</v>
      </c>
    </row>
    <row r="45" spans="1:9" x14ac:dyDescent="0.25">
      <c r="A45" s="146" t="s">
        <v>456</v>
      </c>
      <c r="B45" s="147"/>
      <c r="C45" s="147"/>
      <c r="D45" s="147"/>
      <c r="E45" s="148"/>
      <c r="F45" s="58" t="s">
        <v>53</v>
      </c>
      <c r="G45" s="59" t="s">
        <v>53</v>
      </c>
      <c r="H45" s="59" t="s">
        <v>53</v>
      </c>
      <c r="I45" s="60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Dušková Jaroslava Ing.</cp:lastModifiedBy>
  <dcterms:created xsi:type="dcterms:W3CDTF">2021-06-10T20:06:38Z</dcterms:created>
  <dcterms:modified xsi:type="dcterms:W3CDTF">2025-07-28T06:53:41Z</dcterms:modified>
</cp:coreProperties>
</file>