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65416" yWindow="65416" windowWidth="29040" windowHeight="15840" tabRatio="945" activeTab="0"/>
  </bookViews>
  <sheets>
    <sheet name="Rekapitulace" sheetId="1" r:id="rId1"/>
    <sheet name="bourání a demolice" sheetId="2" r:id="rId2"/>
    <sheet name="sanace" sheetId="41" r:id="rId3"/>
    <sheet name="stavební úpravy" sheetId="31" r:id="rId4"/>
    <sheet name="venkovní plochy a nové objekty" sheetId="32" r:id="rId5"/>
    <sheet name="výrobky a specifikace" sheetId="33" r:id="rId6"/>
    <sheet name="ZTI vodovod" sheetId="22" r:id="rId7"/>
    <sheet name="ZTI kanalizace" sheetId="36" r:id="rId8"/>
    <sheet name="ZTI plynovod" sheetId="40" r:id="rId9"/>
    <sheet name="VZT" sheetId="42" r:id="rId10"/>
    <sheet name="Ústřední vytápění" sheetId="25" r:id="rId11"/>
    <sheet name="elektro SIL+SLA" sheetId="27" r:id="rId12"/>
    <sheet name="EZS+CCTV" sheetId="34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">"$#REF!.$A$2:$L$263"</definedName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4__">#REF!</definedName>
    <definedName name="__T5__">#REF!</definedName>
    <definedName name="__T7__">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_TR2__">#REF!</definedName>
    <definedName name="__TR3__">#REF!</definedName>
    <definedName name="__xlnm._FilterDatabase_1">#REF!</definedName>
    <definedName name="__xlnm._FilterDatabase_1_1">#REF!</definedName>
    <definedName name="__xlnm._FilterDatabase_2">#REF!</definedName>
    <definedName name="__xlnm._FilterDatabase_3">#REF!</definedName>
    <definedName name="__xlnm._FilterDatabase_4">#REF!</definedName>
    <definedName name="__xlnm._FilterDatabase_5">#REF!</definedName>
    <definedName name="__xlnm._FilterDatabase_6">#REF!</definedName>
    <definedName name="_axx1" localSheetId="11">#REF!</definedName>
    <definedName name="_axx1" localSheetId="12">#REF!</definedName>
    <definedName name="_axx1">#REF!</definedName>
    <definedName name="_B100000">#REF!</definedName>
    <definedName name="_BPK1">#REF!</definedName>
    <definedName name="_BPK2">#REF!</definedName>
    <definedName name="_BPK3">#REF!</definedName>
    <definedName name="_info">#REF!</definedName>
    <definedName name="_nic2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odd11">#REF!</definedName>
    <definedName name="_odd12">#REF!</definedName>
    <definedName name="_odd13">#REF!</definedName>
    <definedName name="_odd14">#REF!</definedName>
    <definedName name="_odd15">#REF!</definedName>
    <definedName name="_RB15" localSheetId="11">#REF!</definedName>
    <definedName name="_RB15" localSheetId="12">#REF!</definedName>
    <definedName name="_RB15">#REF!</definedName>
    <definedName name="_RF15" localSheetId="11">#REF!</definedName>
    <definedName name="_RF15" localSheetId="12">#REF!</definedName>
    <definedName name="_RF15">#REF!</definedName>
    <definedName name="_RF18" localSheetId="11">#REF!</definedName>
    <definedName name="_RF18" localSheetId="12">#REF!</definedName>
    <definedName name="_RF18">#REF!</definedName>
    <definedName name="_RF20">#REF!</definedName>
    <definedName name="_RF25">#REF!</definedName>
    <definedName name="_RFI15">#REF!</definedName>
    <definedName name="_SO01">'[4]Venky'!$A$10:$A$26</definedName>
    <definedName name="_SO02">'[4]Venky'!$A$29:$A$39</definedName>
    <definedName name="_SO03">'[4]Venky'!$A$42:$A$50</definedName>
    <definedName name="_SO04">'[4]Venky'!$A$53:$A$60</definedName>
    <definedName name="_SO05">'[4]Venky'!$A$63:$A$74</definedName>
    <definedName name="_SO06">'[4]Venky'!$A$77:$A$100</definedName>
    <definedName name="_SO08">'[4]Venky'!$A$103:$A$184</definedName>
    <definedName name="_SO09">'[4]Venky'!$A$187:$A$209</definedName>
    <definedName name="_SO10">'[4]Venky'!$A$212:$A$221</definedName>
    <definedName name="_T1">#REF!</definedName>
    <definedName name="_TWF14050" localSheetId="11">#REF!</definedName>
    <definedName name="_TWF14050" localSheetId="12">#REF!</definedName>
    <definedName name="_TWF14050">#REF!</definedName>
    <definedName name="_TWF16075" localSheetId="11">#REF!</definedName>
    <definedName name="_TWF16075" localSheetId="12">#REF!</definedName>
    <definedName name="_TWF16075">#REF!</definedName>
    <definedName name="_TWF180100" localSheetId="11">#REF!</definedName>
    <definedName name="_TWF180100" localSheetId="12">#REF!</definedName>
    <definedName name="_TWF180100">#REF!</definedName>
    <definedName name="_TWP1100">#REF!</definedName>
    <definedName name="_TWP1120">#REF!</definedName>
    <definedName name="_TWP1140">#REF!</definedName>
    <definedName name="_TWP140">#REF!</definedName>
    <definedName name="_TWP150">#REF!</definedName>
    <definedName name="_TWP160">#REF!</definedName>
    <definedName name="_TWP180">#REF!</definedName>
    <definedName name="_UA100">#REF!</definedName>
    <definedName name="_UA50">#REF!</definedName>
    <definedName name="_UA75">#REF!</definedName>
    <definedName name="_UD28">#REF!</definedName>
    <definedName name="_UD30">#REF!</definedName>
    <definedName name="_UW100">#REF!</definedName>
    <definedName name="_UW150">#REF!</definedName>
    <definedName name="_UW50">#REF!</definedName>
    <definedName name="_UW75">#REF!</definedName>
    <definedName name="_VO1">'[5]SO 01 - 06 ELEKTROINSTALACE'!$B$9644</definedName>
    <definedName name="_VO2">'[5]SO 01 - 06 ELEKTROINSTALACE'!$B$9644</definedName>
    <definedName name="a" localSheetId="11">#REF!</definedName>
    <definedName name="a" localSheetId="12">#REF!</definedName>
    <definedName name="a">#REF!</definedName>
    <definedName name="aa" localSheetId="11">#REF!</definedName>
    <definedName name="aa" localSheetId="12">#REF!</definedName>
    <definedName name="aa">#REF!</definedName>
    <definedName name="AAAAA">'[6]01'!$A$8:$A$10,'[6]01'!$A$14:$A$16,'[6]01'!$A$20:$A$22,'[6]01'!$A$26:$A$28,'[6]01'!$A$32:$A$34,'[6]01'!$A$38:$A$40,'[6]01'!$A$44:$A$46,'[6]01'!$A$50:$A$52,'[6]01'!$A$56:$A$58,'[6]01'!$A$62:$A$64,'[6]01'!$A$68:$A$70,'[6]01'!$A$74:$A$76,'[6]01'!$A$80:$A$82,'[6]01'!$A$86:$A$88,'[6]01'!$A$92:$A$94,'[6]01'!$A$98:$A$100,'[6]01'!$A$104:$A$106,'[6]01'!$A$110:$A$112,'[6]01'!$A$116:$A$118,'[6]01'!$A$122:$A$124</definedName>
    <definedName name="aaaaaa" localSheetId="11">#REF!</definedName>
    <definedName name="aaaaaa" localSheetId="12">#REF!</definedName>
    <definedName name="aaaaaa">#REF!</definedName>
    <definedName name="aaxx" localSheetId="11">#REF!</definedName>
    <definedName name="aaxx" localSheetId="12">#REF!</definedName>
    <definedName name="aaxx">#REF!</definedName>
    <definedName name="aaxx1" localSheetId="11">#REF!</definedName>
    <definedName name="aaxx1" localSheetId="12">#REF!</definedName>
    <definedName name="aaxx1">#REF!</definedName>
    <definedName name="aaxx10" localSheetId="11">#REF!</definedName>
    <definedName name="aaxx10" localSheetId="12">#REF!</definedName>
    <definedName name="aaxx10">#REF!</definedName>
    <definedName name="aaxx11">#REF!</definedName>
    <definedName name="aaxx12">#REF!</definedName>
    <definedName name="aaxx13">#REF!</definedName>
    <definedName name="aaxx14">#REF!</definedName>
    <definedName name="aaxx15">#REF!</definedName>
    <definedName name="aaxx16">#REF!</definedName>
    <definedName name="aaxx17">#REF!</definedName>
    <definedName name="aaxx18">#REF!</definedName>
    <definedName name="aaxx19">#REF!</definedName>
    <definedName name="aaxx2">#REF!</definedName>
    <definedName name="aaxx20">#REF!</definedName>
    <definedName name="aaxx21">#REF!</definedName>
    <definedName name="aaxx22">#REF!</definedName>
    <definedName name="aaxx23">#REF!</definedName>
    <definedName name="aaxx24">#REF!</definedName>
    <definedName name="aaxx25">#REF!</definedName>
    <definedName name="aaxx26">#REF!</definedName>
    <definedName name="aaxx27">#REF!</definedName>
    <definedName name="aaxx28">#REF!</definedName>
    <definedName name="aaxx29">#REF!</definedName>
    <definedName name="aaxx3">#REF!</definedName>
    <definedName name="aaxx30">#REF!</definedName>
    <definedName name="aaxx35">#REF!</definedName>
    <definedName name="aaxx4">#REF!</definedName>
    <definedName name="aaxx5">#REF!</definedName>
    <definedName name="aaxx6">#REF!</definedName>
    <definedName name="aaxx7">#REF!</definedName>
    <definedName name="aaxx8">#REF!</definedName>
    <definedName name="aaxx9">#REF!</definedName>
    <definedName name="aayy1">#REF!</definedName>
    <definedName name="aayy10">#REF!</definedName>
    <definedName name="aayy11">#REF!</definedName>
    <definedName name="aayy12">#REF!</definedName>
    <definedName name="aayy13">#REF!</definedName>
    <definedName name="aayy14">#REF!</definedName>
    <definedName name="aayy15">#REF!</definedName>
    <definedName name="aayy16">#REF!</definedName>
    <definedName name="aayy17">#REF!</definedName>
    <definedName name="aayy18">#REF!</definedName>
    <definedName name="aayy19">#REF!</definedName>
    <definedName name="aayy2">#REF!</definedName>
    <definedName name="aayy20">#REF!</definedName>
    <definedName name="aayy3">#REF!</definedName>
    <definedName name="aayy4">#REF!</definedName>
    <definedName name="aayy5">#REF!</definedName>
    <definedName name="aayy6">#REF!</definedName>
    <definedName name="aayy7">#REF!</definedName>
    <definedName name="aayy8">#REF!</definedName>
    <definedName name="aayy9">#REF!</definedName>
    <definedName name="ABC">#REF!</definedName>
    <definedName name="AccessDatabase" hidden="1">"C:\Marek\ex - nab99\Czg 990.mdb"</definedName>
    <definedName name="Acelý" localSheetId="11">#REF!,#REF!,#REF!,#REF!,#REF!,#REF!,#REF!,#REF!,#REF!,#REF!,#REF!,#REF!,#REF!,#REF!,#REF!,#REF!,#REF!,#REF!,#REF!,#REF!</definedName>
    <definedName name="Acelý" localSheetId="12">#REF!,#REF!,#REF!,#REF!,#REF!,#REF!,#REF!,#REF!,#REF!,#REF!,#REF!,#REF!,#REF!,#REF!,#REF!,#REF!,#REF!,#REF!,#REF!,#REF!</definedName>
    <definedName name="Acelý">#REF!,#REF!,#REF!,#REF!,#REF!,#REF!,#REF!,#REF!,#REF!,#REF!,#REF!,#REF!,#REF!,#REF!,#REF!,#REF!,#REF!,#REF!,#REF!,#REF!</definedName>
    <definedName name="Adam">"$vm_1np_200_050d.$#REF!$#REF!:$#REF!$#REF!"</definedName>
    <definedName name="ADRIAHYGIENE" localSheetId="11">#REF!</definedName>
    <definedName name="ADRIAHYGIENE" localSheetId="12">#REF!</definedName>
    <definedName name="ADRIAHYGIENE">#REF!</definedName>
    <definedName name="ADRIAHYGIENE_A" localSheetId="11">#REF!</definedName>
    <definedName name="ADRIAHYGIENE_A" localSheetId="12">#REF!</definedName>
    <definedName name="ADRIAHYGIENE_A">#REF!</definedName>
    <definedName name="ADRIAHYGIENE_B" localSheetId="11">#REF!</definedName>
    <definedName name="ADRIAHYGIENE_B" localSheetId="12">#REF!</definedName>
    <definedName name="ADRIAHYGIENE_B">#REF!</definedName>
    <definedName name="ADRIAHYGIENE_C">#REF!</definedName>
    <definedName name="ADRIAHYGIENE_D">#REF!</definedName>
    <definedName name="ADRIAHYGIENE_E">#REF!</definedName>
    <definedName name="afterdetail_rkap">#REF!</definedName>
    <definedName name="afterdetail_rozpocty">#REF!</definedName>
    <definedName name="AKRYLOVYTMEL">#REF!</definedName>
    <definedName name="AKRYLOVYTMEL_A">#REF!</definedName>
    <definedName name="AKRYLOVYTMEL_B">#REF!</definedName>
    <definedName name="AKRYLOVYTMEL_C">#REF!</definedName>
    <definedName name="AKRYLOVYTMEL_D">#REF!</definedName>
    <definedName name="AKRYLOVYTMEL_E">#REF!</definedName>
    <definedName name="AL_obvodový_plášť">#REF!</definedName>
    <definedName name="ALUL" localSheetId="11">#REF!</definedName>
    <definedName name="ALUL" localSheetId="12">#REF!</definedName>
    <definedName name="ALUL">#REF!</definedName>
    <definedName name="ALUL_A" localSheetId="11">#REF!</definedName>
    <definedName name="ALUL_A" localSheetId="12">#REF!</definedName>
    <definedName name="ALUL_A">#REF!</definedName>
    <definedName name="ALUL_B" localSheetId="11">#REF!</definedName>
    <definedName name="ALUL_B" localSheetId="12">#REF!</definedName>
    <definedName name="ALUL_B">#REF!</definedName>
    <definedName name="ALUL_C">#REF!</definedName>
    <definedName name="ALUL_D">#REF!</definedName>
    <definedName name="ALUL_E">#REF!</definedName>
    <definedName name="ALUROH135">#REF!</definedName>
    <definedName name="ALUROH135_A">#REF!</definedName>
    <definedName name="ALUROH135_B">#REF!</definedName>
    <definedName name="ALUROH135_C">#REF!</definedName>
    <definedName name="ALUROH135_D">#REF!</definedName>
    <definedName name="ALUROH135_E">#REF!</definedName>
    <definedName name="ALUROH25X25">#REF!</definedName>
    <definedName name="ALUROH25X25_A">#REF!</definedName>
    <definedName name="ALUROH25X25_B">#REF!</definedName>
    <definedName name="ALUROH25X25_C">#REF!</definedName>
    <definedName name="ALUROH25X25_D">#REF!</definedName>
    <definedName name="ALUROH25X25_E">#REF!</definedName>
    <definedName name="ALUX">#REF!</definedName>
    <definedName name="ALUX_A">#REF!</definedName>
    <definedName name="ALUX_B">#REF!</definedName>
    <definedName name="ALUX_C">#REF!</definedName>
    <definedName name="ALUX_D">#REF!</definedName>
    <definedName name="ALUX_E">#REF!</definedName>
    <definedName name="amech1">'[4]ZS, VR'!$A$10:$A$31</definedName>
    <definedName name="ARMSTRONGBIOGUARD_PER_MIC_A" localSheetId="11">#REF!</definedName>
    <definedName name="ARMSTRONGBIOGUARD_PER_MIC_A" localSheetId="12">#REF!</definedName>
    <definedName name="ARMSTRONGBIOGUARD_PER_MIC_A">#REF!</definedName>
    <definedName name="ARMSTRONGBIOGUARD_PER_MIC_B" localSheetId="11">#REF!</definedName>
    <definedName name="ARMSTRONGBIOGUARD_PER_MIC_B" localSheetId="12">#REF!</definedName>
    <definedName name="ARMSTRONGBIOGUARD_PER_MIC_B">#REF!</definedName>
    <definedName name="ARMSTRONGBIOGUARD_PER_MIC_C" localSheetId="11">#REF!</definedName>
    <definedName name="ARMSTRONGBIOGUARD_PER_MIC_C" localSheetId="12">#REF!</definedName>
    <definedName name="ARMSTRONGBIOGUARD_PER_MIC_C">#REF!</definedName>
    <definedName name="ARMSTRONGBIOGUARD_PER_MIC_D">#REF!</definedName>
    <definedName name="ARMSTRONGBIOGUARD_PER_MIC_E">#REF!</definedName>
    <definedName name="ARMSTRONGBIOGUARDMICROLOOK_A">#REF!</definedName>
    <definedName name="ARMSTRONGBIOGUARDMICROLOOK_B">#REF!</definedName>
    <definedName name="ARMSTRONGBIOGUARDMICROLOOK_C">#REF!</definedName>
    <definedName name="ARMSTRONGBIOGUARDMICROLOOK_D">#REF!</definedName>
    <definedName name="ARMSTRONGBIOGUARDMICROLOOK_E">#REF!</definedName>
    <definedName name="ARMSTRONGBIOGUARDMICROLOOKPERF_C">#REF!</definedName>
    <definedName name="ARMSTRONGDUNE_MIC_A">#REF!</definedName>
    <definedName name="ARMSTRONGDUNE_MIC_B">#REF!</definedName>
    <definedName name="ARMSTRONGDUNE_MIC_C">#REF!</definedName>
    <definedName name="ARMSTRONGDUNE_MIC_D">#REF!</definedName>
    <definedName name="ARMSTRONGDUNE_MIC_E">#REF!</definedName>
    <definedName name="ARMSTRONGPLAINMICROLOOK_A">#REF!</definedName>
    <definedName name="ARMSTRONGPLAINMICROLOOK_B">#REF!</definedName>
    <definedName name="ARMSTRONGPLAINMICROLOOK_C">#REF!</definedName>
    <definedName name="ARMSTRONGPLAINMICROLOOK_D">#REF!</definedName>
    <definedName name="ARMSTRONGPLAINMICROLOOK_E">#REF!</definedName>
    <definedName name="AS">#REF!</definedName>
    <definedName name="ats">#REF!</definedName>
    <definedName name="b_10">#REF!</definedName>
    <definedName name="b_25">#REF!</definedName>
    <definedName name="b_30">#REF!</definedName>
    <definedName name="b_35">#REF!</definedName>
    <definedName name="b_40">#REF!</definedName>
    <definedName name="b_50">#REF!</definedName>
    <definedName name="b_60">#REF!</definedName>
    <definedName name="BASICCORTEGA">#REF!</definedName>
    <definedName name="BASICCORTEGA_A">#REF!</definedName>
    <definedName name="BASICCORTEGA_B">#REF!</definedName>
    <definedName name="BASICCORTEGA_C">#REF!</definedName>
    <definedName name="BASICCORTEGA_D">#REF!</definedName>
    <definedName name="BASICCORTEGA_E">#REF!</definedName>
    <definedName name="BASICCORTEGAT">#REF!</definedName>
    <definedName name="BASICCORTEGAT_A">#REF!</definedName>
    <definedName name="BASICCORTEGAT_B">#REF!</definedName>
    <definedName name="BASICCORTEGAT_C">#REF!</definedName>
    <definedName name="BASICCORTEGAT_D">#REF!</definedName>
    <definedName name="BASICCORTEGAT_E">#REF!</definedName>
    <definedName name="BASICSAVANA">#REF!</definedName>
    <definedName name="BASICSAVANA_A">#REF!</definedName>
    <definedName name="BASICSAVANA_C">#REF!</definedName>
    <definedName name="BASICSAVANA_D">#REF!</definedName>
    <definedName name="BASICSAVANA_E">#REF!</definedName>
    <definedName name="bcv">#REF!</definedName>
    <definedName name="be_be">#REF!</definedName>
    <definedName name="be_pf">#REF!</definedName>
    <definedName name="be_sc">#REF!</definedName>
    <definedName name="be_sch">#REF!</definedName>
    <definedName name="be_so">#REF!</definedName>
    <definedName name="be_sp">#REF!</definedName>
    <definedName name="be_st">#REF!</definedName>
    <definedName name="before_rkap">#REF!</definedName>
    <definedName name="before_rozpocty">#REF!</definedName>
    <definedName name="before_rozpocty1">#REF!</definedName>
    <definedName name="beforeafterdetail_rozpocty.Poznamka2.1">#REF!</definedName>
    <definedName name="beforedetail_rozpocty">#REF!</definedName>
    <definedName name="beforefirmy_rozpocty_pozn.Poznamka2">#REF!</definedName>
    <definedName name="beforetop_rkap">#REF!</definedName>
    <definedName name="BENDLINE7_A">#REF!</definedName>
    <definedName name="BENDLINE7_B">#REF!</definedName>
    <definedName name="BENDLINE7_C">#REF!</definedName>
    <definedName name="BENDLINE7_D">#REF!</definedName>
    <definedName name="BENDLINE7_E">#REF!</definedName>
    <definedName name="BESICSAVANA_B">#REF!</definedName>
    <definedName name="bghrerr">#REF!</definedName>
    <definedName name="bhvfdgvf">#REF!</definedName>
    <definedName name="BIGQUATTRO41">#REF!</definedName>
    <definedName name="BIGQUATTRO41_A">#REF!</definedName>
    <definedName name="BIGQUATTRO41_B">#REF!</definedName>
    <definedName name="BIGQUATTRO41_C">#REF!</definedName>
    <definedName name="BIGQUATTRO41_D">#REF!</definedName>
    <definedName name="BIGQUATTRO41_E">#REF!</definedName>
    <definedName name="BIGQUATTRO42">#REF!</definedName>
    <definedName name="BIGQUATTRO42_A">#REF!</definedName>
    <definedName name="BIGQUATTRO42_B">#REF!</definedName>
    <definedName name="BIGQUATTRO42_C">#REF!</definedName>
    <definedName name="BIGQUATTRO42_D">#REF!</definedName>
    <definedName name="BIGQUATTRO42_E">#REF!</definedName>
    <definedName name="BIGQUATTRO46">#REF!</definedName>
    <definedName name="BIGQUATTRO46_A">#REF!</definedName>
    <definedName name="BIGQUATTRO46_B">#REF!</definedName>
    <definedName name="BIGQUATTRO46_C">#REF!</definedName>
    <definedName name="BIGQUATTRO46_D">#REF!</definedName>
    <definedName name="BIGQUATTRO46_E">#REF!</definedName>
    <definedName name="BIGQUATTRO47">#REF!</definedName>
    <definedName name="BIGQUATTRO47_A">#REF!</definedName>
    <definedName name="BIGQUATTRO47_B">#REF!</definedName>
    <definedName name="BIGQUATTRO47_C">#REF!</definedName>
    <definedName name="BIGQUATTRO47_D">#REF!</definedName>
    <definedName name="BIGQUATTRO47_E">#REF!</definedName>
    <definedName name="BIOGUARD_HRANA_MICROLOOK">#REF!</definedName>
    <definedName name="BIOGUARD_PERFORATED">#REF!</definedName>
    <definedName name="BIOGUARDHRANAMICROLOOK_A">#REF!</definedName>
    <definedName name="BIOGUARDHRANAMICROLOOK_B">#REF!</definedName>
    <definedName name="BIOGUARDHRANAMICROLOOK_C">#REF!</definedName>
    <definedName name="BIOGUARDHRANAMICROLOOK_D">#REF!</definedName>
    <definedName name="BIOGUARDHRANAMICROLOOK_E">#REF!</definedName>
    <definedName name="BIOGUARDPERFORATED_A">#REF!</definedName>
    <definedName name="BIOGUARDPERFORATED_B">#REF!</definedName>
    <definedName name="BIOGUARDPERFORATED_C">#REF!</definedName>
    <definedName name="BIOGUARDPERFORATED_D">#REF!</definedName>
    <definedName name="BIOGUARDPERFORATED_E">#REF!</definedName>
    <definedName name="blbost">#REF!</definedName>
    <definedName name="body_hlavy">#REF!</definedName>
    <definedName name="body_memrekapdph">#REF!</definedName>
    <definedName name="body_phlavy">#REF!</definedName>
    <definedName name="body_prekap">#REF!</definedName>
    <definedName name="body_rkap">#REF!</definedName>
    <definedName name="body_rozpocty">#REF!</definedName>
    <definedName name="body_rozpočty">#REF!</definedName>
    <definedName name="body_rpolozky">#REF!</definedName>
    <definedName name="body_rpolozky.Poznamka2">#REF!</definedName>
    <definedName name="BuňkaNad">'[9]OBALKA'!A1048576</definedName>
    <definedName name="Button_1">"Czg_990_Nabídka_Seznam1"</definedName>
    <definedName name="bvc" localSheetId="11">#REF!</definedName>
    <definedName name="bvc" localSheetId="12">#REF!</definedName>
    <definedName name="bvc">#REF!</definedName>
    <definedName name="CAPRIE24" localSheetId="11">#REF!</definedName>
    <definedName name="CAPRIE24" localSheetId="12">#REF!</definedName>
    <definedName name="CAPRIE24">#REF!</definedName>
    <definedName name="CAPRIE24_A" localSheetId="11">#REF!</definedName>
    <definedName name="CAPRIE24_A" localSheetId="12">#REF!</definedName>
    <definedName name="CAPRIE24_A">#REF!</definedName>
    <definedName name="CAPRIE24_B">#REF!</definedName>
    <definedName name="CAPRIE24_C">#REF!</definedName>
    <definedName name="CAPRIE24_D">#REF!</definedName>
    <definedName name="CAPRIE24_E">#REF!</definedName>
    <definedName name="CASOBIANCAA">#REF!</definedName>
    <definedName name="CASOBIANCAA_A">#REF!</definedName>
    <definedName name="CASOBIANCAA_B">#REF!</definedName>
    <definedName name="CASOBIANCAA_C">#REF!</definedName>
    <definedName name="CASOBIANCAA_D">#REF!</definedName>
    <definedName name="CASOBIANCAA_E">#REF!</definedName>
    <definedName name="CASOBIANCAE15">#REF!</definedName>
    <definedName name="CASOBIANCAE15_A">#REF!</definedName>
    <definedName name="CASOBIANCAE15_B">#REF!</definedName>
    <definedName name="CASOBIANCAE15_C">#REF!</definedName>
    <definedName name="CASOBIANCAE15_D">#REF!</definedName>
    <definedName name="CASOBIANCAE15_E">#REF!</definedName>
    <definedName name="CASOBIANCAE24">#REF!</definedName>
    <definedName name="CASOBIANCAE24_A">#REF!</definedName>
    <definedName name="CASOBIANCAE24_B">#REF!</definedName>
    <definedName name="CASOBIANCAE24_C">#REF!</definedName>
    <definedName name="CASOBIANCAE24_D">#REF!</definedName>
    <definedName name="CASOBIANCAE24_E">#REF!</definedName>
    <definedName name="CASOFORTEA">#REF!</definedName>
    <definedName name="CASOFORTEA_A">#REF!</definedName>
    <definedName name="CASOFORTEA_B">#REF!</definedName>
    <definedName name="CASOFORTEA_C">#REF!</definedName>
    <definedName name="CASOFORTEA_D">#REF!</definedName>
    <definedName name="CASOFORTEA_E">#REF!</definedName>
    <definedName name="CASOFORTEE15">#REF!</definedName>
    <definedName name="CASOFORTEE15_A">#REF!</definedName>
    <definedName name="CASOFORTEE15_B">#REF!</definedName>
    <definedName name="CASOFORTEE15_C">#REF!</definedName>
    <definedName name="CASOFORTEE15_D">#REF!</definedName>
    <definedName name="CASOFORTEE15_E">#REF!</definedName>
    <definedName name="CASOFORTEE24">#REF!</definedName>
    <definedName name="CASOFORTEE24_A">#REF!</definedName>
    <definedName name="CASOFORTEE24_B">#REF!</definedName>
    <definedName name="CASOFORTEE24_C">#REF!</definedName>
    <definedName name="CASOFORTEE24_D">#REF!</definedName>
    <definedName name="CASOFORTEE24_E">#REF!</definedName>
    <definedName name="CASOROCA">#REF!</definedName>
    <definedName name="CASOROCA_A">#REF!</definedName>
    <definedName name="CASOROCA_B">#REF!</definedName>
    <definedName name="CASOROCA_C">#REF!</definedName>
    <definedName name="CASOROCA_D">#REF!</definedName>
    <definedName name="CASOROCA_E">#REF!</definedName>
    <definedName name="CASOROCE15">#REF!</definedName>
    <definedName name="CASOROCE15_A">#REF!</definedName>
    <definedName name="CASOROCE15_B">#REF!</definedName>
    <definedName name="CASOROCE15_C">#REF!</definedName>
    <definedName name="CASOROCE15_D">#REF!</definedName>
    <definedName name="CASOROCE15_E">#REF!</definedName>
    <definedName name="CASOROCE24">#REF!</definedName>
    <definedName name="CASOROCE24_A">#REF!</definedName>
    <definedName name="CASOROCE24_B">#REF!</definedName>
    <definedName name="CASOROCE24_C">#REF!</definedName>
    <definedName name="CASOROCE24_D">#REF!</definedName>
    <definedName name="CASOROCE24_E">#REF!</definedName>
    <definedName name="CASOSTARA">#REF!</definedName>
    <definedName name="CASOSTARA_A">#REF!</definedName>
    <definedName name="CASOSTARA_B">#REF!</definedName>
    <definedName name="CASOSTARA_C">#REF!</definedName>
    <definedName name="CASOSTARA_D">#REF!</definedName>
    <definedName name="CASOSTARA_E">#REF!</definedName>
    <definedName name="CASOSTARE15">#REF!</definedName>
    <definedName name="CASOSTARE15_A">#REF!</definedName>
    <definedName name="CASOSTARE15_B">#REF!</definedName>
    <definedName name="CASOSTARE15_C">#REF!</definedName>
    <definedName name="CASOSTARE15_D">#REF!</definedName>
    <definedName name="CASOSTARE15_E">#REF!</definedName>
    <definedName name="CASOSTARE24">#REF!</definedName>
    <definedName name="CASOSTARE24_A">#REF!</definedName>
    <definedName name="CASOSTARE24_B">#REF!</definedName>
    <definedName name="CASOSTARE24_C">#REF!</definedName>
    <definedName name="CASOSTARE24_D">#REF!</definedName>
    <definedName name="CASOSTARE24_E">#REF!</definedName>
    <definedName name="CASOVOICEA">#REF!</definedName>
    <definedName name="CASOVOICEA_A">#REF!</definedName>
    <definedName name="CASOVOICEA_B">#REF!</definedName>
    <definedName name="CASOVOICEA_C">#REF!</definedName>
    <definedName name="CASOVOICEA_D">#REF!</definedName>
    <definedName name="CASOVOICEA_E">#REF!</definedName>
    <definedName name="CASOVOICEE15">#REF!</definedName>
    <definedName name="CASOVOICEE15_A">#REF!</definedName>
    <definedName name="CASOVOICEE15_B">#REF!</definedName>
    <definedName name="CASOVOICEE15_C">#REF!</definedName>
    <definedName name="CASOVOICEE15_D">#REF!</definedName>
    <definedName name="CASOVOICEE15_E">#REF!</definedName>
    <definedName name="CASOVOICEE24">#REF!</definedName>
    <definedName name="CASOVOICEE24_A">#REF!</definedName>
    <definedName name="CASOVOICEE24_B">#REF!</definedName>
    <definedName name="CASOVOICEE24_C">#REF!</definedName>
    <definedName name="CASOVOICEE24_D">#REF!</definedName>
    <definedName name="CASOVOICEE24_E">#REF!</definedName>
    <definedName name="CC">#REF!</definedName>
    <definedName name="CC_12">#REF!</definedName>
    <definedName name="CC_34">#REF!</definedName>
    <definedName name="CC_50">#REF!</definedName>
    <definedName name="CD">#REF!</definedName>
    <definedName name="CD_A">#REF!</definedName>
    <definedName name="CD_B">#REF!</definedName>
    <definedName name="CD_C">#REF!</definedName>
    <definedName name="CD_D">#REF!</definedName>
    <definedName name="CD_E">#REF!</definedName>
    <definedName name="celkembezdph">#REF!</definedName>
    <definedName name="celkemsdph">#REF!</definedName>
    <definedName name="celkemsdph.Poznamka2">#REF!</definedName>
    <definedName name="celklemsdph">#REF!</definedName>
    <definedName name="celkrozp">#REF!</definedName>
    <definedName name="Cena">#REF!</definedName>
    <definedName name="Cena_1">0</definedName>
    <definedName name="Cena_2">#REF!</definedName>
    <definedName name="Cena_dokumentace">#REF!</definedName>
    <definedName name="Cena1">#REF!</definedName>
    <definedName name="Cena1_1">0</definedName>
    <definedName name="Cena1_2">#REF!</definedName>
    <definedName name="cena100">#REF!</definedName>
    <definedName name="Cena2">#REF!</definedName>
    <definedName name="Cena2_1">0</definedName>
    <definedName name="Cena2_2">#REF!</definedName>
    <definedName name="Cena3">#REF!</definedName>
    <definedName name="Cena3_1">0</definedName>
    <definedName name="Cena3_2">#REF!</definedName>
    <definedName name="Cena4">#REF!</definedName>
    <definedName name="Cena4_1">0</definedName>
    <definedName name="Cena4_2">#REF!</definedName>
    <definedName name="cena46546">#REF!</definedName>
    <definedName name="Cena5">#REF!</definedName>
    <definedName name="Cena5_1">0</definedName>
    <definedName name="Cena5_2">#REF!</definedName>
    <definedName name="Cena6">#REF!</definedName>
    <definedName name="Cena6_1">0</definedName>
    <definedName name="Cena6_2">#REF!</definedName>
    <definedName name="Cena7">#REF!</definedName>
    <definedName name="Cena7_1">0</definedName>
    <definedName name="Cena7_2">#REF!</definedName>
    <definedName name="Cena8">#REF!</definedName>
    <definedName name="Cena8_1">0</definedName>
    <definedName name="Cena8_2">#REF!</definedName>
    <definedName name="cisloobjektu">#REF!</definedName>
    <definedName name="CisloRozpoctu">'[10]Krycí list'!$C$2</definedName>
    <definedName name="cislostavby">#REF!</definedName>
    <definedName name="CK">#REF!</definedName>
    <definedName name="CW_100" localSheetId="11">#REF!</definedName>
    <definedName name="CW_100" localSheetId="12">#REF!</definedName>
    <definedName name="CW_100">#REF!</definedName>
    <definedName name="CW_150">#REF!</definedName>
    <definedName name="CW_50">#REF!</definedName>
    <definedName name="CW_75">#REF!</definedName>
    <definedName name="CW100_A">#REF!</definedName>
    <definedName name="CW100_B">#REF!</definedName>
    <definedName name="CW100_C">#REF!</definedName>
    <definedName name="CW100_D">#REF!</definedName>
    <definedName name="CW100_E">#REF!</definedName>
    <definedName name="CW150_A">#REF!</definedName>
    <definedName name="CW150_B">#REF!</definedName>
    <definedName name="CW150_C">#REF!</definedName>
    <definedName name="CW150_D">#REF!</definedName>
    <definedName name="CW150_E">#REF!</definedName>
    <definedName name="CW50_A">#REF!</definedName>
    <definedName name="CW50_B">#REF!</definedName>
    <definedName name="CW50_C">#REF!</definedName>
    <definedName name="CW50_D">#REF!</definedName>
    <definedName name="CW50_E">#REF!</definedName>
    <definedName name="CW75_A">#REF!</definedName>
    <definedName name="CW75_B">#REF!</definedName>
    <definedName name="CW75_C">#REF!</definedName>
    <definedName name="CW75_D">#REF!</definedName>
    <definedName name="CW75_E">#REF!</definedName>
    <definedName name="d">'[11]DATA'!$A:$E</definedName>
    <definedName name="DATA">#REF!</definedName>
    <definedName name="data_1">#REF!</definedName>
    <definedName name="datan">#REF!</definedName>
    <definedName name="Datum" localSheetId="11">#REF!</definedName>
    <definedName name="Datum" localSheetId="12">#REF!</definedName>
    <definedName name="Datum">#REF!</definedName>
    <definedName name="Datum_1">0</definedName>
    <definedName name="Datum_2">#REF!</definedName>
    <definedName name="DD">#REF!</definedName>
    <definedName name="dem">#REF!</definedName>
    <definedName name="DEROVANADESKA" localSheetId="11">#REF!</definedName>
    <definedName name="DEROVANADESKA" localSheetId="12">#REF!</definedName>
    <definedName name="DEROVANADESKA">#REF!</definedName>
    <definedName name="DEROVANADESKA_A" localSheetId="11">#REF!</definedName>
    <definedName name="DEROVANADESKA_A" localSheetId="12">#REF!</definedName>
    <definedName name="DEROVANADESKA_A">#REF!</definedName>
    <definedName name="DEROVANADESKA_B" localSheetId="11">#REF!</definedName>
    <definedName name="DEROVANADESKA_B" localSheetId="12">#REF!</definedName>
    <definedName name="DEROVANADESKA_B">#REF!</definedName>
    <definedName name="DEROVANADESKA_C">#REF!</definedName>
    <definedName name="DEROVANADESKA_D">#REF!</definedName>
    <definedName name="DEROVANADESKA_E">#REF!</definedName>
    <definedName name="DEROVANADESKASUPER">#REF!</definedName>
    <definedName name="DEROVANADESKASUPER_A">#REF!</definedName>
    <definedName name="DEROVANADESKASUPER_B">#REF!</definedName>
    <definedName name="DEROVANADESKASUPER_C">#REF!</definedName>
    <definedName name="DEROVANADESKASUPER_D">#REF!</definedName>
    <definedName name="DEROVANADESKASUPER_E">#REF!</definedName>
    <definedName name="dfdaf">#REF!</definedName>
    <definedName name="dflt1">'[15]Úprava faktury'!$E$21</definedName>
    <definedName name="dflt2">'[15]Úprava faktury'!$E$22</definedName>
    <definedName name="dflt3">'[15]Úprava faktury'!$D$23</definedName>
    <definedName name="Dil">#REF!</definedName>
    <definedName name="DILATACNIPROFILPVC" localSheetId="11">#REF!</definedName>
    <definedName name="DILATACNIPROFILPVC" localSheetId="12">#REF!</definedName>
    <definedName name="DILATACNIPROFILPVC">#REF!</definedName>
    <definedName name="DILATACNIPROFILPVC_A" localSheetId="11">#REF!</definedName>
    <definedName name="DILATACNIPROFILPVC_A" localSheetId="12">#REF!</definedName>
    <definedName name="DILATACNIPROFILPVC_A">#REF!</definedName>
    <definedName name="DILATACNIPROFILPVC_B">#REF!</definedName>
    <definedName name="DILATACNIPROFILPVC_C">#REF!</definedName>
    <definedName name="DILATACNIPROFILPVC_D">#REF!</definedName>
    <definedName name="DILATACNIPROFILPVC_E">#REF!</definedName>
    <definedName name="Dispečink" localSheetId="11">#REF!</definedName>
    <definedName name="Dispečink" localSheetId="12">#REF!</definedName>
    <definedName name="Dispečink">#REF!</definedName>
    <definedName name="Dispečink_1">0</definedName>
    <definedName name="Dispečink_2">#REF!</definedName>
    <definedName name="DKGJSDGS" localSheetId="11">#REF!</definedName>
    <definedName name="DKGJSDGS" localSheetId="12">#REF!</definedName>
    <definedName name="DKGJSDGS">#REF!</definedName>
    <definedName name="DO">#REF!</definedName>
    <definedName name="DO_12">#REF!</definedName>
    <definedName name="DO_34">#REF!</definedName>
    <definedName name="DO_50">#REF!</definedName>
    <definedName name="dod">'[16]dodav'!$B:$D</definedName>
    <definedName name="DOD_12">#REF!</definedName>
    <definedName name="DOD_34">#REF!</definedName>
    <definedName name="DOD_50">#REF!</definedName>
    <definedName name="dodav">'[17]dodav'!$B:$D</definedName>
    <definedName name="Dodavka">'[18]Rekapitulace'!$G$9</definedName>
    <definedName name="Dodavka0">#REF!</definedName>
    <definedName name="dodavkan">#REF!</definedName>
    <definedName name="DOPL_1" localSheetId="11">#REF!</definedName>
    <definedName name="DOPL_1" localSheetId="12">#REF!</definedName>
    <definedName name="DOPL_1">#REF!</definedName>
    <definedName name="DOPL_1_A" localSheetId="11">#REF!</definedName>
    <definedName name="DOPL_1_A" localSheetId="12">#REF!</definedName>
    <definedName name="DOPL_1_A">#REF!</definedName>
    <definedName name="DOPL_1_B">#REF!</definedName>
    <definedName name="DOPL_1_C">#REF!</definedName>
    <definedName name="DOPL_1_D">#REF!</definedName>
    <definedName name="DOPL_1_E">#REF!</definedName>
    <definedName name="DOPL_1_M">#REF!</definedName>
    <definedName name="DOPL_1_P">#REF!</definedName>
    <definedName name="DOPL_1_WE">#REF!</definedName>
    <definedName name="DOPL_10">#REF!</definedName>
    <definedName name="DOPL_10_A">#REF!</definedName>
    <definedName name="DOPL_10_B">#REF!</definedName>
    <definedName name="DOPL_10_C">#REF!</definedName>
    <definedName name="DOPL_10_D">#REF!</definedName>
    <definedName name="DOPL_10_E">#REF!</definedName>
    <definedName name="DOPL_10_M">#REF!</definedName>
    <definedName name="DOPL_10_P">#REF!</definedName>
    <definedName name="DOPL_11">#REF!</definedName>
    <definedName name="DOPL_11_A">#REF!</definedName>
    <definedName name="DOPL_11_B">#REF!</definedName>
    <definedName name="DOPL_11_C">#REF!</definedName>
    <definedName name="DOPL_11_D">#REF!</definedName>
    <definedName name="DOPL_11_E">#REF!</definedName>
    <definedName name="DOPL_11_M">#REF!</definedName>
    <definedName name="DOPL_11_P">#REF!</definedName>
    <definedName name="DOPL_12">#REF!</definedName>
    <definedName name="DOPL_12_A">#REF!</definedName>
    <definedName name="DOPL_12_B">#REF!</definedName>
    <definedName name="DOPL_12_C">#REF!</definedName>
    <definedName name="DOPL_12_D">#REF!</definedName>
    <definedName name="DOPL_12_E">#REF!</definedName>
    <definedName name="DOPL_12_M">#REF!</definedName>
    <definedName name="DOPL_12_P">#REF!</definedName>
    <definedName name="DOPL_13">#REF!</definedName>
    <definedName name="DOPL_13_A">#REF!</definedName>
    <definedName name="DOPL_13_B">#REF!</definedName>
    <definedName name="DOPL_13_C">#REF!</definedName>
    <definedName name="DOPL_13_D">#REF!</definedName>
    <definedName name="DOPL_13_E">#REF!</definedName>
    <definedName name="DOPL_13_M">#REF!</definedName>
    <definedName name="DOPL_13_P">#REF!</definedName>
    <definedName name="DOPL_14">#REF!</definedName>
    <definedName name="DOPL_14_A">#REF!</definedName>
    <definedName name="DOPL_14_B">#REF!</definedName>
    <definedName name="DOPL_14_C">#REF!</definedName>
    <definedName name="DOPL_14_D">#REF!</definedName>
    <definedName name="DOPL_14_E">#REF!</definedName>
    <definedName name="DOPL_14_M">#REF!</definedName>
    <definedName name="DOPL_14_P">#REF!</definedName>
    <definedName name="DOPL_15">#REF!</definedName>
    <definedName name="DOPL_15_A">#REF!</definedName>
    <definedName name="DOPL_15_B">#REF!</definedName>
    <definedName name="DOPL_15_C">#REF!</definedName>
    <definedName name="DOPL_15_D">#REF!</definedName>
    <definedName name="DOPL_15_E">#REF!</definedName>
    <definedName name="DOPL_15_M">#REF!</definedName>
    <definedName name="DOPL_15_P">#REF!</definedName>
    <definedName name="DOPL_16">#REF!</definedName>
    <definedName name="DOPL_16_A">#REF!</definedName>
    <definedName name="DOPL_16_B">#REF!</definedName>
    <definedName name="DOPL_16_C">#REF!</definedName>
    <definedName name="DOPL_16_D">#REF!</definedName>
    <definedName name="DOPL_16_E">#REF!</definedName>
    <definedName name="DOPL_16_M">#REF!</definedName>
    <definedName name="DOPL_16_P">#REF!</definedName>
    <definedName name="DOPL_17">#REF!</definedName>
    <definedName name="DOPL_17_A">#REF!</definedName>
    <definedName name="DOPL_17_B">#REF!</definedName>
    <definedName name="DOPL_17_C">#REF!</definedName>
    <definedName name="DOPL_17_D">#REF!</definedName>
    <definedName name="DOPL_17_E">#REF!</definedName>
    <definedName name="DOPL_17_M">#REF!</definedName>
    <definedName name="DOPL_17_P">#REF!</definedName>
    <definedName name="DOPL_18">#REF!</definedName>
    <definedName name="DOPL_18_A">#REF!</definedName>
    <definedName name="DOPL_18_B">#REF!</definedName>
    <definedName name="DOPL_18_C">#REF!</definedName>
    <definedName name="DOPL_18_D">#REF!</definedName>
    <definedName name="DOPL_18_E">#REF!</definedName>
    <definedName name="DOPL_18_M">#REF!</definedName>
    <definedName name="DOPL_18_P">#REF!</definedName>
    <definedName name="DOPL_19">#REF!</definedName>
    <definedName name="DOPL_19_A">#REF!</definedName>
    <definedName name="DOPL_19_B">#REF!</definedName>
    <definedName name="DOPL_19_C">#REF!</definedName>
    <definedName name="DOPL_19_D">#REF!</definedName>
    <definedName name="DOPL_19_E">#REF!</definedName>
    <definedName name="DOPL_19_M">#REF!</definedName>
    <definedName name="DOPL_19_P">#REF!</definedName>
    <definedName name="DOPL_2">#REF!</definedName>
    <definedName name="DOPL_2_A">#REF!</definedName>
    <definedName name="DOPL_2_B">#REF!</definedName>
    <definedName name="DOPL_2_C">#REF!</definedName>
    <definedName name="DOPL_2_D">#REF!</definedName>
    <definedName name="DOPL_2_E">#REF!</definedName>
    <definedName name="DOPL_2_M">#REF!</definedName>
    <definedName name="DOPL_2_P">#REF!</definedName>
    <definedName name="DOPL_2_WE">#REF!</definedName>
    <definedName name="DOPL_20">#REF!</definedName>
    <definedName name="DOPL_20_A">#REF!</definedName>
    <definedName name="DOPL_20_B">#REF!</definedName>
    <definedName name="DOPL_20_C">#REF!</definedName>
    <definedName name="DOPL_20_D">#REF!</definedName>
    <definedName name="DOPL_20_E">#REF!</definedName>
    <definedName name="DOPL_20_M">#REF!</definedName>
    <definedName name="DOPL_20_P">#REF!</definedName>
    <definedName name="DOPL_21">#REF!</definedName>
    <definedName name="DOPL_21_A">#REF!</definedName>
    <definedName name="DOPL_21_B">#REF!</definedName>
    <definedName name="DOPL_21_C">#REF!</definedName>
    <definedName name="DOPL_21_D">#REF!</definedName>
    <definedName name="DOPL_21_E">#REF!</definedName>
    <definedName name="DOPL_21_M">#REF!</definedName>
    <definedName name="DOPL_21_P">#REF!</definedName>
    <definedName name="DOPL_22">#REF!</definedName>
    <definedName name="DOPL_22_A">#REF!</definedName>
    <definedName name="DOPL_22_B">#REF!</definedName>
    <definedName name="DOPL_22_C">#REF!</definedName>
    <definedName name="DOPL_22_D">#REF!</definedName>
    <definedName name="DOPL_22_E">#REF!</definedName>
    <definedName name="DOPL_22_M">#REF!</definedName>
    <definedName name="DOPL_22_P">#REF!</definedName>
    <definedName name="DOPL_23">#REF!</definedName>
    <definedName name="DOPL_23_A">#REF!</definedName>
    <definedName name="DOPL_23_B">#REF!</definedName>
    <definedName name="DOPL_23_C">#REF!</definedName>
    <definedName name="DOPL_23_D">#REF!</definedName>
    <definedName name="DOPL_23_E">#REF!</definedName>
    <definedName name="DOPL_23_M">#REF!</definedName>
    <definedName name="DOPL_23_P">#REF!</definedName>
    <definedName name="DOPL_24">#REF!</definedName>
    <definedName name="DOPL_24_A">#REF!</definedName>
    <definedName name="DOPL_24_B">#REF!</definedName>
    <definedName name="DOPL_24_C">#REF!</definedName>
    <definedName name="DOPL_24_D">#REF!</definedName>
    <definedName name="DOPL_24_E">#REF!</definedName>
    <definedName name="DOPL_24_M">#REF!</definedName>
    <definedName name="DOPL_24_P">#REF!</definedName>
    <definedName name="DOPL_25">#REF!</definedName>
    <definedName name="DOPL_25_A">#REF!</definedName>
    <definedName name="DOPL_25_B">#REF!</definedName>
    <definedName name="DOPL_25_C">#REF!</definedName>
    <definedName name="DOPL_25_D">#REF!</definedName>
    <definedName name="DOPL_25_E">#REF!</definedName>
    <definedName name="DOPL_25_M">#REF!</definedName>
    <definedName name="DOPL_25_P">#REF!</definedName>
    <definedName name="DOPL_26">#REF!</definedName>
    <definedName name="DOPL_26_A">#REF!</definedName>
    <definedName name="DOPL_26_B">#REF!</definedName>
    <definedName name="DOPL_26_C">#REF!</definedName>
    <definedName name="DOPL_26_D">#REF!</definedName>
    <definedName name="DOPL_26_E">#REF!</definedName>
    <definedName name="DOPL_26_M">#REF!</definedName>
    <definedName name="DOPL_26_P">#REF!</definedName>
    <definedName name="DOPL_27">#REF!</definedName>
    <definedName name="DOPL_27_A">#REF!</definedName>
    <definedName name="DOPL_27_B">#REF!</definedName>
    <definedName name="DOPL_27_C">#REF!</definedName>
    <definedName name="DOPL_27_D">#REF!</definedName>
    <definedName name="DOPL_27_E">#REF!</definedName>
    <definedName name="DOPL_27_M">#REF!</definedName>
    <definedName name="DOPL_27_P">#REF!</definedName>
    <definedName name="DOPL_28">#REF!</definedName>
    <definedName name="DOPL_28_A">#REF!</definedName>
    <definedName name="DOPL_28_B">#REF!</definedName>
    <definedName name="DOPL_28_C">#REF!</definedName>
    <definedName name="DOPL_28_D">#REF!</definedName>
    <definedName name="DOPL_28_E">#REF!</definedName>
    <definedName name="DOPL_28_M">#REF!</definedName>
    <definedName name="DOPL_28_P">#REF!</definedName>
    <definedName name="DOPL_28_WE">#REF!</definedName>
    <definedName name="DOPL_29">#REF!</definedName>
    <definedName name="DOPL_29_A">#REF!</definedName>
    <definedName name="DOPL_29_B">#REF!</definedName>
    <definedName name="DOPL_29_C">#REF!</definedName>
    <definedName name="DOPL_29_D">#REF!</definedName>
    <definedName name="DOPL_29_E">#REF!</definedName>
    <definedName name="DOPL_29_M">#REF!</definedName>
    <definedName name="DOPL_29_P">#REF!</definedName>
    <definedName name="DOPL_3">#REF!</definedName>
    <definedName name="DOPL_3_A">#REF!</definedName>
    <definedName name="DOPL_3_B">#REF!</definedName>
    <definedName name="DOPL_3_C">#REF!</definedName>
    <definedName name="DOPL_3_D">#REF!</definedName>
    <definedName name="DOPL_3_E">#REF!</definedName>
    <definedName name="DOPL_3_M">#REF!</definedName>
    <definedName name="DOPL_3_P">#REF!</definedName>
    <definedName name="DOPL_30">#REF!</definedName>
    <definedName name="DOPL_30_A">#REF!</definedName>
    <definedName name="DOPL_30_B">#REF!</definedName>
    <definedName name="DOPL_30_C">#REF!</definedName>
    <definedName name="DOPL_30_D">#REF!</definedName>
    <definedName name="DOPL_30_E">#REF!</definedName>
    <definedName name="DOPL_30_M">#REF!</definedName>
    <definedName name="DOPL_30_P">#REF!</definedName>
    <definedName name="DOPL_31">#REF!</definedName>
    <definedName name="DOPL_31_A">#REF!</definedName>
    <definedName name="DOPL_31_B">#REF!</definedName>
    <definedName name="DOPL_31_C">#REF!</definedName>
    <definedName name="DOPL_31_D">#REF!</definedName>
    <definedName name="DOPL_31_E">#REF!</definedName>
    <definedName name="DOPL_31_M">#REF!</definedName>
    <definedName name="DOPL_31_P">#REF!</definedName>
    <definedName name="DOPL_32">#REF!</definedName>
    <definedName name="DOPL_32_A">#REF!</definedName>
    <definedName name="DOPL_32_B">#REF!</definedName>
    <definedName name="DOPL_32_C">#REF!</definedName>
    <definedName name="DOPL_32_D">#REF!</definedName>
    <definedName name="DOPL_32_E">#REF!</definedName>
    <definedName name="DOPL_32_M">#REF!</definedName>
    <definedName name="DOPL_32_P">#REF!</definedName>
    <definedName name="DOPL_33">#REF!</definedName>
    <definedName name="DOPL_33_A">#REF!</definedName>
    <definedName name="DOPL_33_B">#REF!</definedName>
    <definedName name="DOPL_33_C">#REF!</definedName>
    <definedName name="DOPL_33_D">#REF!</definedName>
    <definedName name="DOPL_33_E">#REF!</definedName>
    <definedName name="DOPL_33_M">#REF!</definedName>
    <definedName name="DOPL_33_P">#REF!</definedName>
    <definedName name="DOPL_34">#REF!</definedName>
    <definedName name="DOPL_34_A">#REF!</definedName>
    <definedName name="DOPL_34_B">#REF!</definedName>
    <definedName name="DOPL_34_C">#REF!</definedName>
    <definedName name="DOPL_34_D">#REF!</definedName>
    <definedName name="DOPL_34_E">#REF!</definedName>
    <definedName name="DOPL_34_M">#REF!</definedName>
    <definedName name="DOPL_34_P">#REF!</definedName>
    <definedName name="DOPL_35">#REF!</definedName>
    <definedName name="DOPL_35_A">#REF!</definedName>
    <definedName name="DOPL_35_B">#REF!</definedName>
    <definedName name="DOPL_35_C">#REF!</definedName>
    <definedName name="DOPL_35_D">#REF!</definedName>
    <definedName name="DOPL_35_E">#REF!</definedName>
    <definedName name="DOPL_35_M">#REF!</definedName>
    <definedName name="DOPL_35_P">#REF!</definedName>
    <definedName name="DOPL_36">#REF!</definedName>
    <definedName name="DOPL_36_A">#REF!</definedName>
    <definedName name="DOPL_36_B">#REF!</definedName>
    <definedName name="DOPL_36_C">#REF!</definedName>
    <definedName name="DOPL_36_D">#REF!</definedName>
    <definedName name="DOPL_36_E">#REF!</definedName>
    <definedName name="DOPL_36_M">#REF!</definedName>
    <definedName name="DOPL_36_P">#REF!</definedName>
    <definedName name="DOPL_37">#REF!</definedName>
    <definedName name="DOPL_37_A">#REF!</definedName>
    <definedName name="DOPL_37_B">#REF!</definedName>
    <definedName name="DOPL_37_C">#REF!</definedName>
    <definedName name="DOPL_37_D">#REF!</definedName>
    <definedName name="DOPL_37_E">#REF!</definedName>
    <definedName name="DOPL_37_M">#REF!</definedName>
    <definedName name="DOPL_37_P">#REF!</definedName>
    <definedName name="DOPL_38">#REF!</definedName>
    <definedName name="DOPL_38_A">#REF!</definedName>
    <definedName name="DOPL_38_B">#REF!</definedName>
    <definedName name="DOPL_38_C">#REF!</definedName>
    <definedName name="DOPL_38_D">#REF!</definedName>
    <definedName name="DOPL_38_E">#REF!</definedName>
    <definedName name="DOPL_38_M">#REF!</definedName>
    <definedName name="DOPL_38_P">#REF!</definedName>
    <definedName name="DOPL_39">#REF!</definedName>
    <definedName name="DOPL_39_A">#REF!</definedName>
    <definedName name="DOPL_39_B">#REF!</definedName>
    <definedName name="DOPL_39_C">#REF!</definedName>
    <definedName name="DOPL_39_D">#REF!</definedName>
    <definedName name="DOPL_39_E">#REF!</definedName>
    <definedName name="DOPL_39_M">#REF!</definedName>
    <definedName name="DOPL_39_P">#REF!</definedName>
    <definedName name="DOPL_4">#REF!</definedName>
    <definedName name="DOPL_4_A">#REF!</definedName>
    <definedName name="DOPL_4_B">#REF!</definedName>
    <definedName name="DOPL_4_C">#REF!</definedName>
    <definedName name="DOPL_4_D">#REF!</definedName>
    <definedName name="DOPL_4_E">#REF!</definedName>
    <definedName name="DOPL_4_M">#REF!</definedName>
    <definedName name="DOPL_4_P">#REF!</definedName>
    <definedName name="DOPL_40">#REF!</definedName>
    <definedName name="DOPL_40_A">#REF!</definedName>
    <definedName name="DOPL_40_B">#REF!</definedName>
    <definedName name="DOPL_40_C">#REF!</definedName>
    <definedName name="DOPL_40_D">#REF!</definedName>
    <definedName name="DOPL_40_E">#REF!</definedName>
    <definedName name="DOPL_40_M">#REF!</definedName>
    <definedName name="DOPL_40_P">#REF!</definedName>
    <definedName name="DOPL_41">#REF!</definedName>
    <definedName name="DOPL_41_A">#REF!</definedName>
    <definedName name="DOPL_41_B">#REF!</definedName>
    <definedName name="DOPL_41_C">#REF!</definedName>
    <definedName name="DOPL_41_D">#REF!</definedName>
    <definedName name="DOPL_41_E">#REF!</definedName>
    <definedName name="DOPL_41_M">#REF!</definedName>
    <definedName name="DOPL_41_P">#REF!</definedName>
    <definedName name="DOPL_42">#REF!</definedName>
    <definedName name="DOPL_42_A">#REF!</definedName>
    <definedName name="DOPL_42_B">#REF!</definedName>
    <definedName name="DOPL_42_C">#REF!</definedName>
    <definedName name="DOPL_42_D">#REF!</definedName>
    <definedName name="DOPL_42_E">#REF!</definedName>
    <definedName name="DOPL_42_M">#REF!</definedName>
    <definedName name="DOPL_42_P">#REF!</definedName>
    <definedName name="DOPL_43">#REF!</definedName>
    <definedName name="DOPL_43_A">#REF!</definedName>
    <definedName name="DOPL_43_B">#REF!</definedName>
    <definedName name="DOPL_43_C">#REF!</definedName>
    <definedName name="DOPL_43_D">#REF!</definedName>
    <definedName name="DOPL_43_E">#REF!</definedName>
    <definedName name="DOPL_43_M">#REF!</definedName>
    <definedName name="DOPL_43_P">#REF!</definedName>
    <definedName name="DOPL_44">#REF!</definedName>
    <definedName name="DOPL_44_A">#REF!</definedName>
    <definedName name="DOPL_44_B">#REF!</definedName>
    <definedName name="DOPL_44_C">#REF!</definedName>
    <definedName name="DOPL_44_D">#REF!</definedName>
    <definedName name="DOPL_44_E">#REF!</definedName>
    <definedName name="DOPL_44_M">#REF!</definedName>
    <definedName name="DOPL_44_P">#REF!</definedName>
    <definedName name="DOPL_45">#REF!</definedName>
    <definedName name="DOPL_45_A">#REF!</definedName>
    <definedName name="DOPL_45_B">#REF!</definedName>
    <definedName name="DOPL_45_C">#REF!</definedName>
    <definedName name="DOPL_45_D">#REF!</definedName>
    <definedName name="DOPL_45_E">#REF!</definedName>
    <definedName name="DOPL_45_M">#REF!</definedName>
    <definedName name="DOPL_45_P">#REF!</definedName>
    <definedName name="DOPL_46">#REF!</definedName>
    <definedName name="DOPL_46_A">#REF!</definedName>
    <definedName name="DOPL_46_B">#REF!</definedName>
    <definedName name="DOPL_46_C">#REF!</definedName>
    <definedName name="DOPL_46_D">#REF!</definedName>
    <definedName name="DOPL_46_E">#REF!</definedName>
    <definedName name="DOPL_46_M">#REF!</definedName>
    <definedName name="DOPL_46_P">#REF!</definedName>
    <definedName name="DOPL_47">#REF!</definedName>
    <definedName name="DOPL_47_A">#REF!</definedName>
    <definedName name="DOPL_47_B">#REF!</definedName>
    <definedName name="DOPL_47_C">#REF!</definedName>
    <definedName name="DOPL_47_D">#REF!</definedName>
    <definedName name="DOPL_47_E">#REF!</definedName>
    <definedName name="DOPL_47_M">#REF!</definedName>
    <definedName name="DOPL_47_P">#REF!</definedName>
    <definedName name="DOPL_48">#REF!</definedName>
    <definedName name="DOPL_48_A">#REF!</definedName>
    <definedName name="DOPL_48_B">#REF!</definedName>
    <definedName name="DOPL_48_C">#REF!</definedName>
    <definedName name="DOPL_48_D">#REF!</definedName>
    <definedName name="DOPL_48_E">#REF!</definedName>
    <definedName name="DOPL_48_M">#REF!</definedName>
    <definedName name="DOPL_48_P">#REF!</definedName>
    <definedName name="DOPL_49">#REF!</definedName>
    <definedName name="DOPL_49_A">#REF!</definedName>
    <definedName name="DOPL_49_B">#REF!</definedName>
    <definedName name="DOPL_49_C">#REF!</definedName>
    <definedName name="DOPL_49_D">#REF!</definedName>
    <definedName name="DOPL_49_E">#REF!</definedName>
    <definedName name="DOPL_49_M">#REF!</definedName>
    <definedName name="DOPL_49_P">#REF!</definedName>
    <definedName name="DOPL_5">#REF!</definedName>
    <definedName name="DOPL_5_A">#REF!</definedName>
    <definedName name="DOPL_5_B">#REF!</definedName>
    <definedName name="DOPL_5_C">#REF!</definedName>
    <definedName name="DOPL_5_D">#REF!</definedName>
    <definedName name="DOPL_5_E">#REF!</definedName>
    <definedName name="DOPL_5_M">#REF!</definedName>
    <definedName name="DOPL_5_P">#REF!</definedName>
    <definedName name="DOPL_50">#REF!</definedName>
    <definedName name="DOPL_50_A">#REF!</definedName>
    <definedName name="DOPL_50_B">#REF!</definedName>
    <definedName name="DOPL_50_C">#REF!</definedName>
    <definedName name="DOPL_50_D">#REF!</definedName>
    <definedName name="DOPL_50_E">#REF!</definedName>
    <definedName name="DOPL_50_M">#REF!</definedName>
    <definedName name="DOPL_50_P">#REF!</definedName>
    <definedName name="DOPL_51">#REF!</definedName>
    <definedName name="DOPL_51_A">#REF!</definedName>
    <definedName name="DOPL_51_B">#REF!</definedName>
    <definedName name="DOPL_51_C">#REF!</definedName>
    <definedName name="DOPL_51_D">#REF!</definedName>
    <definedName name="DOPL_51_E">#REF!</definedName>
    <definedName name="DOPL_51_M">#REF!</definedName>
    <definedName name="DOPL_51_P">#REF!</definedName>
    <definedName name="DOPL_52">#REF!</definedName>
    <definedName name="DOPL_52_A">#REF!</definedName>
    <definedName name="DOPL_52_B">#REF!</definedName>
    <definedName name="DOPL_52_C">#REF!</definedName>
    <definedName name="DOPL_52_D">#REF!</definedName>
    <definedName name="DOPL_52_E">#REF!</definedName>
    <definedName name="DOPL_52_M">#REF!</definedName>
    <definedName name="DOPL_52_P">#REF!</definedName>
    <definedName name="DOPL_53">#REF!</definedName>
    <definedName name="DOPL_53_A">#REF!</definedName>
    <definedName name="DOPL_53_B">#REF!</definedName>
    <definedName name="DOPL_53_C">#REF!</definedName>
    <definedName name="DOPL_53_D">#REF!</definedName>
    <definedName name="DOPL_53_E">#REF!</definedName>
    <definedName name="DOPL_53_M">#REF!</definedName>
    <definedName name="DOPL_53_P">#REF!</definedName>
    <definedName name="DOPL_54">#REF!</definedName>
    <definedName name="DOPL_54_A">#REF!</definedName>
    <definedName name="DOPL_54_B">#REF!</definedName>
    <definedName name="DOPL_54_C">#REF!</definedName>
    <definedName name="DOPL_54_D">#REF!</definedName>
    <definedName name="DOPL_54_E">#REF!</definedName>
    <definedName name="DOPL_54_M">#REF!</definedName>
    <definedName name="DOPL_54_P">#REF!</definedName>
    <definedName name="DOPL_55">#REF!</definedName>
    <definedName name="DOPL_55_A">#REF!</definedName>
    <definedName name="DOPL_55_B">#REF!</definedName>
    <definedName name="DOPL_55_C">#REF!</definedName>
    <definedName name="DOPL_55_D">#REF!</definedName>
    <definedName name="DOPL_55_E">#REF!</definedName>
    <definedName name="DOPL_55_M">#REF!</definedName>
    <definedName name="DOPL_55_P">#REF!</definedName>
    <definedName name="DOPL_56">#REF!</definedName>
    <definedName name="DOPL_56_A">#REF!</definedName>
    <definedName name="DOPL_56_B">#REF!</definedName>
    <definedName name="DOPL_56_C">#REF!</definedName>
    <definedName name="DOPL_56_D">#REF!</definedName>
    <definedName name="DOPL_56_E">#REF!</definedName>
    <definedName name="DOPL_56_M">#REF!</definedName>
    <definedName name="DOPL_56_P">#REF!</definedName>
    <definedName name="DOPL_6">#REF!</definedName>
    <definedName name="DOPL_6_A">#REF!</definedName>
    <definedName name="DOPL_6_B">#REF!</definedName>
    <definedName name="DOPL_6_C">#REF!</definedName>
    <definedName name="DOPL_6_D">#REF!</definedName>
    <definedName name="DOPL_6_E">#REF!</definedName>
    <definedName name="DOPL_6_M">#REF!</definedName>
    <definedName name="DOPL_6_P">#REF!</definedName>
    <definedName name="DOPL_7">#REF!</definedName>
    <definedName name="DOPL_7_A">#REF!</definedName>
    <definedName name="DOPL_7_B">#REF!</definedName>
    <definedName name="DOPL_7_C">#REF!</definedName>
    <definedName name="DOPL_7_D">#REF!</definedName>
    <definedName name="DOPL_7_E">#REF!</definedName>
    <definedName name="DOPL_7_M">#REF!</definedName>
    <definedName name="DOPL_7_P">#REF!</definedName>
    <definedName name="DOPL_8">#REF!</definedName>
    <definedName name="DOPL_8_A">#REF!</definedName>
    <definedName name="DOPL_8_B">#REF!</definedName>
    <definedName name="DOPL_8_C">#REF!</definedName>
    <definedName name="DOPL_8_D">#REF!</definedName>
    <definedName name="DOPL_8_E">#REF!</definedName>
    <definedName name="DOPL_8_M">#REF!</definedName>
    <definedName name="DOPL_8_P">#REF!</definedName>
    <definedName name="DOPL_9">#REF!</definedName>
    <definedName name="DOPL_9_A">#REF!</definedName>
    <definedName name="DOPL_9_B">#REF!</definedName>
    <definedName name="DOPL_9_C">#REF!</definedName>
    <definedName name="DOPL_9_D">#REF!</definedName>
    <definedName name="DOPL_9_E">#REF!</definedName>
    <definedName name="DOPL_9_M">#REF!</definedName>
    <definedName name="DOPL_9_P">#REF!</definedName>
    <definedName name="DPHSni">'[19]Stavba'!$G$24</definedName>
    <definedName name="DPHZakl">'[19]Stavba'!$G$26</definedName>
    <definedName name="DPJ">#REF!</definedName>
    <definedName name="DPJ_12">#REF!</definedName>
    <definedName name="DPJ_34">#REF!</definedName>
    <definedName name="DPJ_50">#REF!</definedName>
    <definedName name="DRATSOEKM125_A">#REF!</definedName>
    <definedName name="DRATSOKEM1000">#REF!</definedName>
    <definedName name="DRATSOKEM1000_A">#REF!</definedName>
    <definedName name="DRATSOKEM1000_B">#REF!</definedName>
    <definedName name="DRATSOKEM1000_C">#REF!</definedName>
    <definedName name="DRATSOKEM1000_D">#REF!</definedName>
    <definedName name="DRATSOKEM1000_E">#REF!</definedName>
    <definedName name="DRATSOKEM125">#REF!</definedName>
    <definedName name="DRATSOKEM125_B">#REF!</definedName>
    <definedName name="DRATSOKEM125_C">#REF!</definedName>
    <definedName name="DRATSOKEM125_D">#REF!</definedName>
    <definedName name="DRATSOKEM125_E">#REF!</definedName>
    <definedName name="DRATSOKEM250">#REF!</definedName>
    <definedName name="DRATSOKEM250_A">#REF!</definedName>
    <definedName name="DRATSOKEM250_B">#REF!</definedName>
    <definedName name="DRATSOKEM250_C">#REF!</definedName>
    <definedName name="DRATSOKEM250_D">#REF!</definedName>
    <definedName name="DRATSOKEM250_E">#REF!</definedName>
    <definedName name="DRATSOKEM375">#REF!</definedName>
    <definedName name="DRATSOKEM375_A">#REF!</definedName>
    <definedName name="DRATSOKEM375_B">#REF!</definedName>
    <definedName name="DRATSOKEM375_C">#REF!</definedName>
    <definedName name="DRATSOKEM375_D">#REF!</definedName>
    <definedName name="DRATSOKEM375_E">#REF!</definedName>
    <definedName name="DRATSOKEM500">#REF!</definedName>
    <definedName name="DRATSOKEM500_A">#REF!</definedName>
    <definedName name="DRATSOKEM500_B">#REF!</definedName>
    <definedName name="DRATSOKEM500_C">#REF!</definedName>
    <definedName name="DRATSOKEM500_D">#REF!</definedName>
    <definedName name="DRATSOKEM500_E">#REF!</definedName>
    <definedName name="DRATSOKEM750">#REF!</definedName>
    <definedName name="DRATSOKEM750_A">#REF!</definedName>
    <definedName name="DRATSOKEM750_B">#REF!</definedName>
    <definedName name="DRATSOKEM750_C">#REF!</definedName>
    <definedName name="DRATSOKEM750_D">#REF!</definedName>
    <definedName name="DRATSOKEM750_E">#REF!</definedName>
    <definedName name="DS_1">#REF!</definedName>
    <definedName name="DS_1_A">#REF!</definedName>
    <definedName name="DS_1_B">#REF!</definedName>
    <definedName name="DS_1_C">#REF!</definedName>
    <definedName name="DS_1_D">#REF!</definedName>
    <definedName name="DS_1_E">#REF!</definedName>
    <definedName name="DS_1_M">#REF!</definedName>
    <definedName name="DS_1_P">#REF!</definedName>
    <definedName name="DS_10">#REF!</definedName>
    <definedName name="DS_10_A">#REF!</definedName>
    <definedName name="DS_10_B">#REF!</definedName>
    <definedName name="DS_10_C">#REF!</definedName>
    <definedName name="DS_10_D">#REF!</definedName>
    <definedName name="DS_10_E">#REF!</definedName>
    <definedName name="DS_10_M">#REF!</definedName>
    <definedName name="DS_10_P">#REF!</definedName>
    <definedName name="DS_11">#REF!</definedName>
    <definedName name="DS_11_A">#REF!</definedName>
    <definedName name="DS_11_B">#REF!</definedName>
    <definedName name="DS_11_C">#REF!</definedName>
    <definedName name="DS_11_D">#REF!</definedName>
    <definedName name="DS_11_E">#REF!</definedName>
    <definedName name="DS_11_M">#REF!</definedName>
    <definedName name="DS_11_P">#REF!</definedName>
    <definedName name="DS_12">#REF!</definedName>
    <definedName name="DS_12_A">#REF!</definedName>
    <definedName name="DS_12_B">#REF!</definedName>
    <definedName name="DS_12_C">#REF!</definedName>
    <definedName name="DS_12_D">#REF!</definedName>
    <definedName name="DS_12_E">#REF!</definedName>
    <definedName name="DS_12_M">#REF!</definedName>
    <definedName name="DS_12_P">#REF!</definedName>
    <definedName name="DS_13">#REF!</definedName>
    <definedName name="DS_13_A">#REF!</definedName>
    <definedName name="DS_13_B">#REF!</definedName>
    <definedName name="DS_13_C">#REF!</definedName>
    <definedName name="DS_13_D">#REF!</definedName>
    <definedName name="DS_13_E">#REF!</definedName>
    <definedName name="DS_13_M">#REF!</definedName>
    <definedName name="DS_13_P">#REF!</definedName>
    <definedName name="DS_14">#REF!</definedName>
    <definedName name="DS_14_A">#REF!</definedName>
    <definedName name="DS_14_B">#REF!</definedName>
    <definedName name="DS_14_C">#REF!</definedName>
    <definedName name="DS_14_D">#REF!</definedName>
    <definedName name="DS_14_E">#REF!</definedName>
    <definedName name="DS_14_M">#REF!</definedName>
    <definedName name="DS_14_P">#REF!</definedName>
    <definedName name="DS_15">#REF!</definedName>
    <definedName name="DS_15_A">#REF!</definedName>
    <definedName name="DS_15_B">#REF!</definedName>
    <definedName name="DS_15_C">#REF!</definedName>
    <definedName name="DS_15_D">#REF!</definedName>
    <definedName name="DS_15_E">#REF!</definedName>
    <definedName name="DS_15_M">#REF!</definedName>
    <definedName name="DS_15_P">#REF!</definedName>
    <definedName name="DS_16">#REF!</definedName>
    <definedName name="DS_16_A">#REF!</definedName>
    <definedName name="DS_16_B">#REF!</definedName>
    <definedName name="DS_16_C">#REF!</definedName>
    <definedName name="DS_16_D">#REF!</definedName>
    <definedName name="DS_16_E">#REF!</definedName>
    <definedName name="DS_16_M">#REF!</definedName>
    <definedName name="DS_16_P">#REF!</definedName>
    <definedName name="DS_17">#REF!</definedName>
    <definedName name="DS_17_A">#REF!</definedName>
    <definedName name="DS_17_B">#REF!</definedName>
    <definedName name="DS_17_C">#REF!</definedName>
    <definedName name="DS_17_D">#REF!</definedName>
    <definedName name="DS_17_E">#REF!</definedName>
    <definedName name="DS_17_M">#REF!</definedName>
    <definedName name="DS_17_P">#REF!</definedName>
    <definedName name="DS_18">#REF!</definedName>
    <definedName name="DS_18_A">#REF!</definedName>
    <definedName name="DS_18_B">#REF!</definedName>
    <definedName name="DS_18_C">#REF!</definedName>
    <definedName name="DS_18_D">#REF!</definedName>
    <definedName name="DS_18_E">#REF!</definedName>
    <definedName name="DS_18_M">#REF!</definedName>
    <definedName name="DS_18_P">#REF!</definedName>
    <definedName name="DS_19">#REF!</definedName>
    <definedName name="DS_19_A">#REF!</definedName>
    <definedName name="DS_19_B">#REF!</definedName>
    <definedName name="DS_19_C">#REF!</definedName>
    <definedName name="DS_19_D">#REF!</definedName>
    <definedName name="DS_19_E">#REF!</definedName>
    <definedName name="DS_19_M">#REF!</definedName>
    <definedName name="DS_19_P">#REF!</definedName>
    <definedName name="DS_2">#REF!</definedName>
    <definedName name="DS_2_A">#REF!</definedName>
    <definedName name="DS_2_B">#REF!</definedName>
    <definedName name="DS_2_C">#REF!</definedName>
    <definedName name="DS_2_D">#REF!</definedName>
    <definedName name="DS_2_E">#REF!</definedName>
    <definedName name="DS_2_M">#REF!</definedName>
    <definedName name="DS_2_P">#REF!</definedName>
    <definedName name="DS_20">#REF!</definedName>
    <definedName name="DS_20_A">#REF!</definedName>
    <definedName name="DS_20_B">#REF!</definedName>
    <definedName name="DS_20_C">#REF!</definedName>
    <definedName name="DS_20_D">#REF!</definedName>
    <definedName name="DS_20_E">#REF!</definedName>
    <definedName name="DS_20_M">#REF!</definedName>
    <definedName name="DS_20_P">#REF!</definedName>
    <definedName name="DS_21">#REF!</definedName>
    <definedName name="DS_21_A">#REF!</definedName>
    <definedName name="DS_21_B">#REF!</definedName>
    <definedName name="DS_21_C">#REF!</definedName>
    <definedName name="DS_21_D">#REF!</definedName>
    <definedName name="DS_21_E">#REF!</definedName>
    <definedName name="DS_21_M">#REF!</definedName>
    <definedName name="DS_21_P">#REF!</definedName>
    <definedName name="DS_22">#REF!</definedName>
    <definedName name="DS_22_A">#REF!</definedName>
    <definedName name="DS_22_B">#REF!</definedName>
    <definedName name="DS_22_C">#REF!</definedName>
    <definedName name="DS_22_D">#REF!</definedName>
    <definedName name="DS_22_E">#REF!</definedName>
    <definedName name="DS_22_M">#REF!</definedName>
    <definedName name="DS_22_P">#REF!</definedName>
    <definedName name="DS_23">#REF!</definedName>
    <definedName name="DS_23_A">#REF!</definedName>
    <definedName name="DS_23_B">#REF!</definedName>
    <definedName name="DS_23_C">#REF!</definedName>
    <definedName name="DS_23_D">#REF!</definedName>
    <definedName name="DS_23_E">#REF!</definedName>
    <definedName name="DS_23_M">#REF!</definedName>
    <definedName name="DS_23_P">#REF!</definedName>
    <definedName name="DS_24">#REF!</definedName>
    <definedName name="DS_24_A">#REF!</definedName>
    <definedName name="DS_24_B">#REF!</definedName>
    <definedName name="DS_24_C">#REF!</definedName>
    <definedName name="DS_24_D">#REF!</definedName>
    <definedName name="DS_24_E">#REF!</definedName>
    <definedName name="DS_24_M">#REF!</definedName>
    <definedName name="DS_24_P">#REF!</definedName>
    <definedName name="DS_25">#REF!</definedName>
    <definedName name="DS_25_A">#REF!</definedName>
    <definedName name="DS_25_B">#REF!</definedName>
    <definedName name="DS_25_C">#REF!</definedName>
    <definedName name="DS_25_D">#REF!</definedName>
    <definedName name="DS_25_E">#REF!</definedName>
    <definedName name="DS_25_M">#REF!</definedName>
    <definedName name="DS_25_P">#REF!</definedName>
    <definedName name="DS_26">#REF!</definedName>
    <definedName name="DS_26_A">#REF!</definedName>
    <definedName name="DS_26_B">#REF!</definedName>
    <definedName name="DS_26_C">#REF!</definedName>
    <definedName name="DS_26_D">#REF!</definedName>
    <definedName name="DS_26_E">#REF!</definedName>
    <definedName name="DS_26_M">#REF!</definedName>
    <definedName name="DS_26_P">#REF!</definedName>
    <definedName name="DS_27">#REF!</definedName>
    <definedName name="DS_27_A">#REF!</definedName>
    <definedName name="DS_27_B">#REF!</definedName>
    <definedName name="DS_27_C">#REF!</definedName>
    <definedName name="DS_27_D">#REF!</definedName>
    <definedName name="DS_27_E">#REF!</definedName>
    <definedName name="DS_27_M">#REF!</definedName>
    <definedName name="DS_27_P">#REF!</definedName>
    <definedName name="DS_28">#REF!</definedName>
    <definedName name="DS_28_A">#REF!</definedName>
    <definedName name="DS_28_B">#REF!</definedName>
    <definedName name="DS_28_C">#REF!</definedName>
    <definedName name="DS_28_D">#REF!</definedName>
    <definedName name="DS_28_E">#REF!</definedName>
    <definedName name="DS_28_M">#REF!</definedName>
    <definedName name="DS_28_P">#REF!</definedName>
    <definedName name="DS_29">#REF!</definedName>
    <definedName name="DS_29_A">#REF!</definedName>
    <definedName name="DS_29_B">#REF!</definedName>
    <definedName name="DS_29_C">#REF!</definedName>
    <definedName name="DS_29_D">#REF!</definedName>
    <definedName name="DS_29_E">#REF!</definedName>
    <definedName name="DS_29_M">#REF!</definedName>
    <definedName name="DS_29_P">#REF!</definedName>
    <definedName name="DS_3">#REF!</definedName>
    <definedName name="DS_3_A">#REF!</definedName>
    <definedName name="DS_3_B">#REF!</definedName>
    <definedName name="DS_3_C">#REF!</definedName>
    <definedName name="DS_3_D">#REF!</definedName>
    <definedName name="DS_3_E">#REF!</definedName>
    <definedName name="DS_3_M">#REF!</definedName>
    <definedName name="DS_3_P">#REF!</definedName>
    <definedName name="DS_30">#REF!</definedName>
    <definedName name="DS_30_A">#REF!</definedName>
    <definedName name="DS_30_B">#REF!</definedName>
    <definedName name="DS_30_C">#REF!</definedName>
    <definedName name="DS_30_D">#REF!</definedName>
    <definedName name="DS_30_E">#REF!</definedName>
    <definedName name="DS_30_M">#REF!</definedName>
    <definedName name="DS_30_P">#REF!</definedName>
    <definedName name="DS_31">#REF!</definedName>
    <definedName name="DS_31_A">#REF!</definedName>
    <definedName name="DS_31_B">#REF!</definedName>
    <definedName name="DS_31_C">#REF!</definedName>
    <definedName name="DS_31_D">#REF!</definedName>
    <definedName name="DS_31_E">#REF!</definedName>
    <definedName name="DS_31_M">#REF!</definedName>
    <definedName name="DS_31_P">#REF!</definedName>
    <definedName name="DS_32">#REF!</definedName>
    <definedName name="DS_32_A">#REF!</definedName>
    <definedName name="DS_32_B">#REF!</definedName>
    <definedName name="DS_32_C">#REF!</definedName>
    <definedName name="DS_32_D">#REF!</definedName>
    <definedName name="DS_32_E">#REF!</definedName>
    <definedName name="DS_32_M">#REF!</definedName>
    <definedName name="DS_32_P">#REF!</definedName>
    <definedName name="DS_33">#REF!</definedName>
    <definedName name="DS_33_A">#REF!</definedName>
    <definedName name="DS_33_B">#REF!</definedName>
    <definedName name="DS_33_C">#REF!</definedName>
    <definedName name="DS_33_D">#REF!</definedName>
    <definedName name="DS_33_E">#REF!</definedName>
    <definedName name="DS_33_M">#REF!</definedName>
    <definedName name="DS_33_P">#REF!</definedName>
    <definedName name="DS_34">#REF!</definedName>
    <definedName name="DS_34_A">#REF!</definedName>
    <definedName name="DS_34_B">#REF!</definedName>
    <definedName name="DS_34_C">#REF!</definedName>
    <definedName name="DS_34_D">#REF!</definedName>
    <definedName name="DS_34_E">#REF!</definedName>
    <definedName name="DS_34_M">#REF!</definedName>
    <definedName name="DS_34_P">#REF!</definedName>
    <definedName name="DS_35">#REF!</definedName>
    <definedName name="DS_35_A">#REF!</definedName>
    <definedName name="DS_35_B">#REF!</definedName>
    <definedName name="DS_35_C">#REF!</definedName>
    <definedName name="DS_35_D">#REF!</definedName>
    <definedName name="DS_35_E">#REF!</definedName>
    <definedName name="DS_35_M">#REF!</definedName>
    <definedName name="DS_35_P">#REF!</definedName>
    <definedName name="DS_36">#REF!</definedName>
    <definedName name="DS_36_A">#REF!</definedName>
    <definedName name="DS_36_B">#REF!</definedName>
    <definedName name="DS_36_C">#REF!</definedName>
    <definedName name="DS_36_D">#REF!</definedName>
    <definedName name="DS_36_E">#REF!</definedName>
    <definedName name="DS_36_M">#REF!</definedName>
    <definedName name="DS_36_P">#REF!</definedName>
    <definedName name="DS_37">#REF!</definedName>
    <definedName name="DS_37_A">#REF!</definedName>
    <definedName name="DS_37_B">#REF!</definedName>
    <definedName name="DS_37_C">#REF!</definedName>
    <definedName name="DS_37_D">#REF!</definedName>
    <definedName name="DS_37_E">#REF!</definedName>
    <definedName name="DS_37_M">#REF!</definedName>
    <definedName name="DS_37_P">#REF!</definedName>
    <definedName name="DS_38">#REF!</definedName>
    <definedName name="DS_38_A">#REF!</definedName>
    <definedName name="DS_38_B">#REF!</definedName>
    <definedName name="DS_38_C">#REF!</definedName>
    <definedName name="DS_38_D">#REF!</definedName>
    <definedName name="DS_38_E">#REF!</definedName>
    <definedName name="DS_38_M">#REF!</definedName>
    <definedName name="DS_38_P">#REF!</definedName>
    <definedName name="DS_39">#REF!</definedName>
    <definedName name="DS_39_A">#REF!</definedName>
    <definedName name="DS_39_B">#REF!</definedName>
    <definedName name="DS_39_C">#REF!</definedName>
    <definedName name="DS_39_D">#REF!</definedName>
    <definedName name="DS_39_E">#REF!</definedName>
    <definedName name="DS_39_M">#REF!</definedName>
    <definedName name="DS_39_P">#REF!</definedName>
    <definedName name="DS_4">#REF!</definedName>
    <definedName name="DS_4_A">#REF!</definedName>
    <definedName name="DS_4_B">#REF!</definedName>
    <definedName name="DS_4_C">#REF!</definedName>
    <definedName name="DS_4_D">#REF!</definedName>
    <definedName name="DS_4_E">#REF!</definedName>
    <definedName name="DS_4_M">#REF!</definedName>
    <definedName name="DS_4_P">#REF!</definedName>
    <definedName name="DS_40">#REF!</definedName>
    <definedName name="DS_40_A">#REF!</definedName>
    <definedName name="DS_40_B">#REF!</definedName>
    <definedName name="DS_40_C">#REF!</definedName>
    <definedName name="DS_40_D">#REF!</definedName>
    <definedName name="DS_40_E">#REF!</definedName>
    <definedName name="DS_40_M">#REF!</definedName>
    <definedName name="DS_40_P">#REF!</definedName>
    <definedName name="DS_41">#REF!</definedName>
    <definedName name="DS_41_A">#REF!</definedName>
    <definedName name="DS_41_B">#REF!</definedName>
    <definedName name="DS_41_C">#REF!</definedName>
    <definedName name="DS_41_D">#REF!</definedName>
    <definedName name="DS_41_E">#REF!</definedName>
    <definedName name="DS_41_M">#REF!</definedName>
    <definedName name="DS_41_P">#REF!</definedName>
    <definedName name="DS_42">#REF!</definedName>
    <definedName name="DS_42_A">#REF!</definedName>
    <definedName name="DS_42_B">#REF!</definedName>
    <definedName name="DS_42_C">#REF!</definedName>
    <definedName name="DS_42_D">#REF!</definedName>
    <definedName name="DS_42_E">#REF!</definedName>
    <definedName name="DS_42_M">#REF!</definedName>
    <definedName name="DS_42_P">#REF!</definedName>
    <definedName name="DS_43">#REF!</definedName>
    <definedName name="DS_43_A">#REF!</definedName>
    <definedName name="DS_43_B">#REF!</definedName>
    <definedName name="DS_43_C">#REF!</definedName>
    <definedName name="DS_43_D">#REF!</definedName>
    <definedName name="DS_43_E">#REF!</definedName>
    <definedName name="DS_43_M">#REF!</definedName>
    <definedName name="DS_43_P">#REF!</definedName>
    <definedName name="DS_44">#REF!</definedName>
    <definedName name="DS_44_A">#REF!</definedName>
    <definedName name="DS_44_B">#REF!</definedName>
    <definedName name="DS_44_C">#REF!</definedName>
    <definedName name="DS_44_D">#REF!</definedName>
    <definedName name="DS_44_E">#REF!</definedName>
    <definedName name="DS_44_M">#REF!</definedName>
    <definedName name="DS_44_P">#REF!</definedName>
    <definedName name="DS_45">#REF!</definedName>
    <definedName name="DS_45_A">#REF!</definedName>
    <definedName name="DS_45_AQ">#REF!</definedName>
    <definedName name="DS_45_B">#REF!</definedName>
    <definedName name="DS_45_C">#REF!</definedName>
    <definedName name="DS_45_D">#REF!</definedName>
    <definedName name="DS_45_E">#REF!</definedName>
    <definedName name="DS_45_M">#REF!</definedName>
    <definedName name="DS_45_P">#REF!</definedName>
    <definedName name="DS_46">#REF!</definedName>
    <definedName name="DS_46_A">#REF!</definedName>
    <definedName name="DS_46_B">#REF!</definedName>
    <definedName name="DS_46_C">#REF!</definedName>
    <definedName name="DS_46_D">#REF!</definedName>
    <definedName name="DS_46_E">#REF!</definedName>
    <definedName name="DS_46_M">#REF!</definedName>
    <definedName name="DS_46_P">#REF!</definedName>
    <definedName name="DS_47">#REF!</definedName>
    <definedName name="DS_47_A">#REF!</definedName>
    <definedName name="DS_47_B">#REF!</definedName>
    <definedName name="DS_47_C">#REF!</definedName>
    <definedName name="DS_47_D">#REF!</definedName>
    <definedName name="DS_47_E">#REF!</definedName>
    <definedName name="DS_47_M">#REF!</definedName>
    <definedName name="DS_47_P">#REF!</definedName>
    <definedName name="DS_48">#REF!</definedName>
    <definedName name="DS_48_A">#REF!</definedName>
    <definedName name="DS_48_B">#REF!</definedName>
    <definedName name="DS_48_C">#REF!</definedName>
    <definedName name="DS_48_D">#REF!</definedName>
    <definedName name="DS_48_E">#REF!</definedName>
    <definedName name="DS_48_M">#REF!</definedName>
    <definedName name="DS_48_P">#REF!</definedName>
    <definedName name="DS_49">#REF!</definedName>
    <definedName name="DS_49_A">#REF!</definedName>
    <definedName name="DS_49_B">#REF!</definedName>
    <definedName name="DS_49_C">#REF!</definedName>
    <definedName name="DS_49_D">#REF!</definedName>
    <definedName name="DS_49_E">#REF!</definedName>
    <definedName name="DS_49_M">#REF!</definedName>
    <definedName name="DS_49_P">#REF!</definedName>
    <definedName name="DS_5">#REF!</definedName>
    <definedName name="DS_5_A">#REF!</definedName>
    <definedName name="DS_5_B">#REF!</definedName>
    <definedName name="DS_5_C">#REF!</definedName>
    <definedName name="DS_5_D">#REF!</definedName>
    <definedName name="DS_5_E">#REF!</definedName>
    <definedName name="DS_5_M">#REF!</definedName>
    <definedName name="DS_5_P">#REF!</definedName>
    <definedName name="DS_50">#REF!</definedName>
    <definedName name="DS_50_A">#REF!</definedName>
    <definedName name="DS_50_B">#REF!</definedName>
    <definedName name="DS_50_C">#REF!</definedName>
    <definedName name="DS_50_D">#REF!</definedName>
    <definedName name="DS_50_E">#REF!</definedName>
    <definedName name="DS_50_M">#REF!</definedName>
    <definedName name="DS_50_P">#REF!</definedName>
    <definedName name="DS_51">#REF!</definedName>
    <definedName name="DS_51_A">#REF!</definedName>
    <definedName name="DS_51_B">#REF!</definedName>
    <definedName name="DS_51_C">#REF!</definedName>
    <definedName name="DS_51_D">#REF!</definedName>
    <definedName name="DS_51_E">#REF!</definedName>
    <definedName name="DS_51_M">#REF!</definedName>
    <definedName name="DS_51_P">#REF!</definedName>
    <definedName name="DS_52">#REF!</definedName>
    <definedName name="DS_52_A">#REF!</definedName>
    <definedName name="DS_52_B">#REF!</definedName>
    <definedName name="DS_52_C">#REF!</definedName>
    <definedName name="DS_52_D">#REF!</definedName>
    <definedName name="DS_52_E">#REF!</definedName>
    <definedName name="DS_52_M">#REF!</definedName>
    <definedName name="DS_52_P">#REF!</definedName>
    <definedName name="DS_53">#REF!</definedName>
    <definedName name="DS_53_A">#REF!</definedName>
    <definedName name="DS_53_B">#REF!</definedName>
    <definedName name="DS_53_C">#REF!</definedName>
    <definedName name="DS_53_D">#REF!</definedName>
    <definedName name="DS_53_E">#REF!</definedName>
    <definedName name="DS_53_M">#REF!</definedName>
    <definedName name="DS_53_P">#REF!</definedName>
    <definedName name="DS_54">#REF!</definedName>
    <definedName name="DS_54_A">#REF!</definedName>
    <definedName name="DS_54_B">#REF!</definedName>
    <definedName name="DS_54_C">#REF!</definedName>
    <definedName name="DS_54_D">#REF!</definedName>
    <definedName name="DS_54_E">#REF!</definedName>
    <definedName name="DS_54_M">#REF!</definedName>
    <definedName name="DS_54_P">#REF!</definedName>
    <definedName name="DS_6">#REF!</definedName>
    <definedName name="DS_6_A">#REF!</definedName>
    <definedName name="DS_6_B">#REF!</definedName>
    <definedName name="DS_6_C">#REF!</definedName>
    <definedName name="DS_6_D">#REF!</definedName>
    <definedName name="DS_6_E">#REF!</definedName>
    <definedName name="DS_6_M">#REF!</definedName>
    <definedName name="DS_6_P">#REF!</definedName>
    <definedName name="DS_7">#REF!</definedName>
    <definedName name="DS_7_A">#REF!</definedName>
    <definedName name="DS_7_B">#REF!</definedName>
    <definedName name="DS_7_C">#REF!</definedName>
    <definedName name="DS_7_D">#REF!</definedName>
    <definedName name="DS_7_E">#REF!</definedName>
    <definedName name="DS_7_M">#REF!</definedName>
    <definedName name="DS_7_P">#REF!</definedName>
    <definedName name="DS_8">#REF!</definedName>
    <definedName name="DS_8_A">#REF!</definedName>
    <definedName name="DS_8_B">#REF!</definedName>
    <definedName name="DS_8_C">#REF!</definedName>
    <definedName name="DS_8_D">#REF!</definedName>
    <definedName name="DS_8_E">#REF!</definedName>
    <definedName name="DS_8_M">#REF!</definedName>
    <definedName name="DS_8_P">#REF!</definedName>
    <definedName name="DS_9">#REF!</definedName>
    <definedName name="DS_9_A">#REF!</definedName>
    <definedName name="DS_9_B">#REF!</definedName>
    <definedName name="DS_9_C">#REF!</definedName>
    <definedName name="DS_9_D">#REF!</definedName>
    <definedName name="DS_9_E">#REF!</definedName>
    <definedName name="DS_9_M">#REF!</definedName>
    <definedName name="DS_9_P">#REF!</definedName>
    <definedName name="dsfbhbg">#REF!</definedName>
    <definedName name="DV">#REF!</definedName>
    <definedName name="DVIRKAA200200">#REF!</definedName>
    <definedName name="DVIRKAA200200_A">#REF!</definedName>
    <definedName name="DVIRKAA200200_B">#REF!</definedName>
    <definedName name="DVIRKAA200200_C">#REF!</definedName>
    <definedName name="DVIRKAA200200_D">#REF!</definedName>
    <definedName name="DVIRKAA200200_E">#REF!</definedName>
    <definedName name="DVIRKAA200X200">#REF!</definedName>
    <definedName name="DVIRKAA300300">#REF!</definedName>
    <definedName name="DVIRKAA300300_A">#REF!</definedName>
    <definedName name="DVIRKAA300300_B">#REF!</definedName>
    <definedName name="DVIRKAA300300_C">#REF!</definedName>
    <definedName name="DVIRKAA300300_D">#REF!</definedName>
    <definedName name="DVIRKAA300300_E">#REF!</definedName>
    <definedName name="DVIRKAA300X300">#REF!</definedName>
    <definedName name="DVIRKAA400400">#REF!</definedName>
    <definedName name="DVIRKAA400400_A">#REF!</definedName>
    <definedName name="DVIRKAA400400_B">#REF!</definedName>
    <definedName name="DVIRKAA400400_C">#REF!</definedName>
    <definedName name="DVIRKAA400400_D">#REF!</definedName>
    <definedName name="DVIRKAA400400_E">#REF!</definedName>
    <definedName name="DVIRKAA400X400">#REF!</definedName>
    <definedName name="DVIRKAA500500">#REF!</definedName>
    <definedName name="DVIRKAA500500_A">#REF!</definedName>
    <definedName name="DVIRKAA500500_B">#REF!</definedName>
    <definedName name="DVIRKAA500500_C">#REF!</definedName>
    <definedName name="DVIRKAA500500_D">#REF!</definedName>
    <definedName name="DVIRKAA500500_E">#REF!</definedName>
    <definedName name="DVIRKAA500X500">#REF!</definedName>
    <definedName name="DVIRKAA600600">#REF!</definedName>
    <definedName name="DVIRKAA600600_A">#REF!</definedName>
    <definedName name="DVIRKAA600600_B">#REF!</definedName>
    <definedName name="DVIRKAA600600_C">#REF!</definedName>
    <definedName name="DVIRKAA600600_D">#REF!</definedName>
    <definedName name="DVIRKAA600600_E">#REF!</definedName>
    <definedName name="DVIRKAA600X600">#REF!</definedName>
    <definedName name="DVIRKAB200200">#REF!</definedName>
    <definedName name="DVIRKAB200200_A">#REF!</definedName>
    <definedName name="DVIRKAB200200_B">#REF!</definedName>
    <definedName name="DVIRKAB200200_C">#REF!</definedName>
    <definedName name="DVIRKAB200200_D">#REF!</definedName>
    <definedName name="DVIRKAB200200_E">#REF!</definedName>
    <definedName name="DVIRKAB300300_A">#REF!</definedName>
    <definedName name="DVIRKAB300300_B">#REF!</definedName>
    <definedName name="DVIRKAB300300_C">#REF!</definedName>
    <definedName name="DVIRKAB300300_D">#REF!</definedName>
    <definedName name="DVIRKAB300300_E">#REF!</definedName>
    <definedName name="DVIRKAB300X300">#REF!</definedName>
    <definedName name="DVIRKAB400400_A">#REF!</definedName>
    <definedName name="DVIRKAB400400_B">#REF!</definedName>
    <definedName name="DVIRKAB400400_C">#REF!</definedName>
    <definedName name="DVIRKAB400400_D">#REF!</definedName>
    <definedName name="DVIRKAB400400_E">#REF!</definedName>
    <definedName name="DVIRKAB400X400">#REF!</definedName>
    <definedName name="DVIRKAB500500">#REF!</definedName>
    <definedName name="DVIRKAB500500_A">#REF!</definedName>
    <definedName name="DVIRKAB500500_B">#REF!</definedName>
    <definedName name="DVIRKAB500500_C">#REF!</definedName>
    <definedName name="DVIRKAB500500_D">#REF!</definedName>
    <definedName name="DVIRKAB500500_E">#REF!</definedName>
    <definedName name="DVIRKAB600600">#REF!</definedName>
    <definedName name="DVIRKAB600600_A">#REF!</definedName>
    <definedName name="DVIRKAB600600_B">#REF!</definedName>
    <definedName name="DVIRKAB600600_C">#REF!</definedName>
    <definedName name="DVIRKAB600600_D">#REF!</definedName>
    <definedName name="DVIRKAB600600_E">#REF!</definedName>
    <definedName name="DVIRKAC200200">#REF!</definedName>
    <definedName name="DVIRKAC200200_A">#REF!</definedName>
    <definedName name="DVIRKAC200200_B">#REF!</definedName>
    <definedName name="DVIRKAC200200_C">#REF!</definedName>
    <definedName name="DVIRKAC200200_D">#REF!</definedName>
    <definedName name="DVIRKAC200200_E">#REF!</definedName>
    <definedName name="DVIRKAC300300">#REF!</definedName>
    <definedName name="DVIRKAC300300_A">#REF!</definedName>
    <definedName name="DVIRKAC300300_B">#REF!</definedName>
    <definedName name="DVIRKAC300300_C">#REF!</definedName>
    <definedName name="DVIRKAC300300_D">#REF!</definedName>
    <definedName name="DVIRKAC300300_E">#REF!</definedName>
    <definedName name="DVIRKAC400400">#REF!</definedName>
    <definedName name="DVIRKAC400400_A">#REF!</definedName>
    <definedName name="DVIRKAC400400_B">#REF!</definedName>
    <definedName name="DVIRKAC400400_C">#REF!</definedName>
    <definedName name="DVIRKAC400400_D">#REF!</definedName>
    <definedName name="DVIRKAC400400_E">#REF!</definedName>
    <definedName name="DVIRKAC500500">#REF!</definedName>
    <definedName name="DVIRKAC500500_A">#REF!</definedName>
    <definedName name="DVIRKAC500500_B">#REF!</definedName>
    <definedName name="DVIRKAC500500_C">#REF!</definedName>
    <definedName name="DVIRKAC500500_D">#REF!</definedName>
    <definedName name="DVIRKAC500500_E">#REF!</definedName>
    <definedName name="DVIRKAC600600">#REF!</definedName>
    <definedName name="DVIRKAC600600_A">#REF!</definedName>
    <definedName name="DVIRKAC600600_B">#REF!</definedName>
    <definedName name="DVIRKAC600600_C">#REF!</definedName>
    <definedName name="DVIRKAC600600_D">#REF!</definedName>
    <definedName name="DVIRKAC600600_E">#REF!</definedName>
    <definedName name="DVOJITAPEROVASVORKA">#REF!</definedName>
    <definedName name="DVOJITAPEROVASVORKA_A">#REF!</definedName>
    <definedName name="DVOJITAPEROVASVORKA_B">#REF!</definedName>
    <definedName name="DVOJITAPEROVASVORKA_C">#REF!</definedName>
    <definedName name="DVOJITAPEROVASVORKA_D">#REF!</definedName>
    <definedName name="DVOJITAPEROVASVORKA_E">#REF!</definedName>
    <definedName name="e">#REF!</definedName>
    <definedName name="eee">#REF!</definedName>
    <definedName name="eeeee">#REF!</definedName>
    <definedName name="eeeeeee">#REF!</definedName>
    <definedName name="eeeeeeee">#REF!</definedName>
    <definedName name="ELEKTROKRABICE6845">#REF!</definedName>
    <definedName name="ELEKTROKRABICE6845_A">#REF!</definedName>
    <definedName name="ELEKTROKRABICE6845_B">#REF!</definedName>
    <definedName name="ELEKTROKRABICE6845_C">#REF!</definedName>
    <definedName name="ELEKTROKRABICE6845_D">#REF!</definedName>
    <definedName name="ELEKTROKRABICE6845_E">#REF!</definedName>
    <definedName name="ELEKTROKRABICE6860">#REF!</definedName>
    <definedName name="ELEKTROKRABICE6860_A">#REF!</definedName>
    <definedName name="ELEKTROKRABICE6860_B">#REF!</definedName>
    <definedName name="ELEKTROKRABICE6860_C">#REF!</definedName>
    <definedName name="ELEKTROKRABICE6860_D">#REF!</definedName>
    <definedName name="ELEKTROKRABICE6860_E">#REF!</definedName>
    <definedName name="ELEKTROKRABICE6945_A">#REF!</definedName>
    <definedName name="ELEKTROKRABICE6945_B">#REF!</definedName>
    <definedName name="ELEKTROKRABICE6945_C">#REF!</definedName>
    <definedName name="ELEKTROKRABICE6945_D">#REF!</definedName>
    <definedName name="ELEKTROKRABICE6945_E">#REF!</definedName>
    <definedName name="end_rozpocty">#REF!</definedName>
    <definedName name="ergergegergergerg">#REF!</definedName>
    <definedName name="ergrthzk">#REF!</definedName>
    <definedName name="Est_copy_první">#REF!</definedName>
    <definedName name="Est_poslední">#REF!</definedName>
    <definedName name="Est_první">#REF!</definedName>
    <definedName name="etetetet">#REF!</definedName>
    <definedName name="eur">#REF!</definedName>
    <definedName name="Excel_BuiltIn_Print_Area">#REF!</definedName>
    <definedName name="Excel_BuiltIn_Print_Area_1_1">"$vm_1np_200_050d.$#REF!$#REF!:$#REF!$#REF!"</definedName>
    <definedName name="Excel_BuiltIn_Print_Area_1_1_1">#REF!,#REF!</definedName>
    <definedName name="Excel_BuiltIn_Print_Area_1_1_1_2">#REF!,#REF!</definedName>
    <definedName name="Excel_BuiltIn_Print_Area_1_1_1_3">#REF!,#REF!</definedName>
    <definedName name="Excel_BuiltIn_Print_Area_10">#REF!</definedName>
    <definedName name="Excel_BuiltIn_Print_Area_10_1">"$#REF!.$A$1:$F$9"</definedName>
    <definedName name="Excel_BuiltIn_Print_Area_11">"$#REF!.$A$1:$F$9"</definedName>
    <definedName name="Excel_BuiltIn_Print_Area_12">"$#REF!.$A$1:$F$9"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4_1">#REF!</definedName>
    <definedName name="Excel_BuiltIn_Print_Area_4_1_1">"$#REF!.$A$1:$F$9"</definedName>
    <definedName name="Excel_BuiltIn_Print_Area_5">#REF!</definedName>
    <definedName name="Excel_BuiltIn_Print_Area_5_1">"$#REF!.$A$1:$F$9"</definedName>
    <definedName name="Excel_BuiltIn_Print_Area_6">#REF!</definedName>
    <definedName name="Excel_BuiltIn_Print_Area_6_1">"$#REF!.$A$1:$F$9"</definedName>
    <definedName name="Excel_BuiltIn_Print_Area_7">#REF!</definedName>
    <definedName name="Excel_BuiltIn_Print_Area_7_1">"$#REF!.$A$1:$F$9"</definedName>
    <definedName name="Excel_BuiltIn_Print_Area_8">#REF!</definedName>
    <definedName name="Excel_BuiltIn_Print_Area_8_1">"$#REF!.$A$1:$F$9"</definedName>
    <definedName name="Excel_BuiltIn_Print_Area_9">"$#REF!.$A$1:$F$9"</definedName>
    <definedName name="exter1" localSheetId="11">#REF!</definedName>
    <definedName name="exter1" localSheetId="12">#REF!</definedName>
    <definedName name="exter1">#REF!</definedName>
    <definedName name="EXTRA" localSheetId="11">#REF!</definedName>
    <definedName name="EXTRA" localSheetId="12">#REF!</definedName>
    <definedName name="EXTRA">#REF!</definedName>
    <definedName name="EXTRA_A" localSheetId="11">#REF!</definedName>
    <definedName name="EXTRA_A" localSheetId="12">#REF!</definedName>
    <definedName name="EXTRA_A">#REF!</definedName>
    <definedName name="EXTRA_B" localSheetId="11">#REF!</definedName>
    <definedName name="EXTRA_B" localSheetId="12">#REF!</definedName>
    <definedName name="EXTRA_B">#REF!</definedName>
    <definedName name="EXTRA_C">#REF!</definedName>
    <definedName name="EXTRA_D">#REF!</definedName>
    <definedName name="EXTRA_E">#REF!</definedName>
    <definedName name="f">#REF!</definedName>
    <definedName name="FABION100">#REF!</definedName>
    <definedName name="FABION100_A">#REF!</definedName>
    <definedName name="FABION100_B">#REF!</definedName>
    <definedName name="FABION100_C">#REF!</definedName>
    <definedName name="FABION100_D">#REF!</definedName>
    <definedName name="FABION100_E">#REF!</definedName>
    <definedName name="FABION127">#REF!</definedName>
    <definedName name="FABION127_A">#REF!</definedName>
    <definedName name="FABION127_B">#REF!</definedName>
    <definedName name="FABION127_C">#REF!</definedName>
    <definedName name="FABION127_D">#REF!</definedName>
    <definedName name="FABION127_E">#REF!</definedName>
    <definedName name="fakt">#REF!</definedName>
    <definedName name="fdasfa">#N/A</definedName>
    <definedName name="fdasfa_1">0</definedName>
    <definedName name="FEINFRESKO_E">#REF!</definedName>
    <definedName name="FFFFFFF">#REF!</definedName>
    <definedName name="FINISH">#REF!</definedName>
    <definedName name="FINISH_A">#REF!</definedName>
    <definedName name="FINISH_B">#REF!</definedName>
    <definedName name="FINISH_C">#REF!</definedName>
    <definedName name="FINISH_D">#REF!</definedName>
    <definedName name="FINISH_E">#REF!</definedName>
    <definedName name="firmy_rozpocty.0">#REF!</definedName>
    <definedName name="firmy_rozpocty.1">#REF!</definedName>
    <definedName name="firmy_rozpocty_pozn.Poznamka2">#REF!</definedName>
    <definedName name="FISURADAE24">#REF!</definedName>
    <definedName name="FISURALDAE24_A">#REF!</definedName>
    <definedName name="FISURALDAE24_B">#REF!</definedName>
    <definedName name="FISURALDAE24_C">#REF!</definedName>
    <definedName name="FISURALDAE24_D">#REF!</definedName>
    <definedName name="FISURALDAE24_E">#REF!</definedName>
    <definedName name="FOLIEPAROFOL">#REF!</definedName>
    <definedName name="FOLIEPAROFOL_A">#REF!</definedName>
    <definedName name="FOLIEPAROFOL_B">#REF!</definedName>
    <definedName name="FOLIEPAROFOL_C">#REF!</definedName>
    <definedName name="FOLIEPAROFOL_D">#REF!</definedName>
    <definedName name="FOLIEPAROFOL_E">#REF!</definedName>
    <definedName name="G___P__">#REF!</definedName>
    <definedName name="gbp">#REF!</definedName>
    <definedName name="GEWALBE">#REF!</definedName>
    <definedName name="GEWALBE_A">#REF!</definedName>
    <definedName name="GEWALBE_B">#REF!</definedName>
    <definedName name="GEWALBE_C">#REF!</definedName>
    <definedName name="GEWALBE_D">#REF!</definedName>
    <definedName name="GEWALBE_E">#REF!</definedName>
    <definedName name="gje§bgj§webgj§g">#REF!</definedName>
    <definedName name="GYPTONEBASEA">#REF!</definedName>
    <definedName name="GYPTONEBASEA_A">#REF!</definedName>
    <definedName name="GYPTONEBASEA_B">#REF!</definedName>
    <definedName name="GYPTONEBASEA_C">#REF!</definedName>
    <definedName name="GYPTONEBASEA_D">#REF!</definedName>
    <definedName name="GYPTONEBASEA_E">#REF!</definedName>
    <definedName name="GYPTONEBASED1">#REF!</definedName>
    <definedName name="GYPTONEBASED1_A">#REF!</definedName>
    <definedName name="GYPTONEBASED1_B">#REF!</definedName>
    <definedName name="GYPTONEBASED1_C">#REF!</definedName>
    <definedName name="GYPTONEBASED1_D">#REF!</definedName>
    <definedName name="GYPTONEBASED1_E">#REF!</definedName>
    <definedName name="GYPTONEBASEE">#REF!</definedName>
    <definedName name="GYPTONEBASEE_A">#REF!</definedName>
    <definedName name="GYPTONEBASEE_B">#REF!</definedName>
    <definedName name="GYPTONEBASEE_C">#REF!</definedName>
    <definedName name="GYPTONEBASEE_D">#REF!</definedName>
    <definedName name="GYPTONEBASEE_E">#REF!</definedName>
    <definedName name="GYPTONELINEA">#REF!</definedName>
    <definedName name="GYPTONELINEA_A">#REF!</definedName>
    <definedName name="GYPTONELINEA_B">#REF!</definedName>
    <definedName name="GYPTONELINEA_C">#REF!</definedName>
    <definedName name="GYPTONELINEA_D">#REF!</definedName>
    <definedName name="GYPTONELINEA_E">#REF!</definedName>
    <definedName name="GYPTONELINEE">#REF!</definedName>
    <definedName name="GYPTONELINEE_A">#REF!</definedName>
    <definedName name="GYPTONELINEE_B">#REF!</definedName>
    <definedName name="GYPTONELINEE_C">#REF!</definedName>
    <definedName name="GYPTONELINEE_D">#REF!</definedName>
    <definedName name="GYPTONELINEE_E">#REF!</definedName>
    <definedName name="GYPTONELINEED_A">#REF!</definedName>
    <definedName name="GYPTONELINEED_B">#REF!</definedName>
    <definedName name="GYPTONELINEED_C">#REF!</definedName>
    <definedName name="GYPTONELINEED_D">#REF!</definedName>
    <definedName name="GYPTONELINEED_E">#REF!</definedName>
    <definedName name="GYPTONEPOINT11A">#REF!</definedName>
    <definedName name="GYPTONEPOINT11A_A">#REF!</definedName>
    <definedName name="GYPTONEPOINT11A_B">#REF!</definedName>
    <definedName name="GYPTONEPOINT11A_C">#REF!</definedName>
    <definedName name="GYPTONEPOINT11A_D">#REF!</definedName>
    <definedName name="GYPTONEPOINT11A_E">#REF!</definedName>
    <definedName name="GYPTONEPOINT11E">#REF!</definedName>
    <definedName name="GYPTONEPOINT11E_A">#REF!</definedName>
    <definedName name="GYPTONEPOINT11E_B">#REF!</definedName>
    <definedName name="GYPTONEPOINT11E_C">#REF!</definedName>
    <definedName name="GYPTONEPOINT11E_D">#REF!</definedName>
    <definedName name="GYPTONEPOINT11E_E">#REF!</definedName>
    <definedName name="GYPTONEPOINT12A">#REF!</definedName>
    <definedName name="GYPTONEPOINT12A_A">#REF!</definedName>
    <definedName name="GYPTONEPOINT12A_B">#REF!</definedName>
    <definedName name="GYPTONEPOINT12A_C">#REF!</definedName>
    <definedName name="GYPTONEPOINT12A_D">#REF!</definedName>
    <definedName name="GYPTONEPOINT12A_E">#REF!</definedName>
    <definedName name="GYPTONEPOINT12E">#REF!</definedName>
    <definedName name="GYPTONEPOINT12E_A">#REF!</definedName>
    <definedName name="GYPTONEPOINT12E_B">#REF!</definedName>
    <definedName name="GYPTONEPOINT12E_C">#REF!</definedName>
    <definedName name="GYPTONEPOINT12E_D">#REF!</definedName>
    <definedName name="GYPTONEPOINT12E_E">#REF!</definedName>
    <definedName name="GYPTONEQUATTRO20A">#REF!</definedName>
    <definedName name="GYPTONEQUATTRO20A_A">#REF!</definedName>
    <definedName name="GYPTONEQUATTRO20A_B">#REF!</definedName>
    <definedName name="GYPTONEQUATTRO20A_C">#REF!</definedName>
    <definedName name="GYPTONEQUATTRO20A_D">#REF!</definedName>
    <definedName name="GYPTONEQUATTRO20A_E">#REF!</definedName>
    <definedName name="GYPTONEQUATTRO20E">#REF!</definedName>
    <definedName name="GYPTONEQUATTRO20E_A">#REF!</definedName>
    <definedName name="GYPTONEQUATTRO20E_B">#REF!</definedName>
    <definedName name="GYPTONEQUATTRO20E_C">#REF!</definedName>
    <definedName name="GYPTONEQUATTRO20E_D">#REF!</definedName>
    <definedName name="GYPTONEQUATTRO20E_E">#REF!</definedName>
    <definedName name="GYPTONEQUATTRO22A">#REF!</definedName>
    <definedName name="GYPTONEQUATTRO22A_A">#REF!</definedName>
    <definedName name="GYPTONEQUATTRO22A_B">#REF!</definedName>
    <definedName name="GYPTONEQUATTRO22A_C">#REF!</definedName>
    <definedName name="GYPTONEQUATTRO22A_D">#REF!</definedName>
    <definedName name="GYPTONEQUATTRO22A_E">#REF!</definedName>
    <definedName name="GYPTONEQUATTRO22E">#REF!</definedName>
    <definedName name="GYPTONEQUATTRO22E_A">#REF!</definedName>
    <definedName name="GYPTONEQUATTRO22E_B">#REF!</definedName>
    <definedName name="GYPTONEQUATTRO22E_C">#REF!</definedName>
    <definedName name="GYPTONEQUATTRO22E_D">#REF!</definedName>
    <definedName name="GYPTONEQUATTRO22E_E">#REF!</definedName>
    <definedName name="H">#REF!</definedName>
    <definedName name="hjhguioifz">#REF!</definedName>
    <definedName name="Hlavička" localSheetId="11">#REF!</definedName>
    <definedName name="Hlavička" localSheetId="12">#REF!</definedName>
    <definedName name="Hlavička">#REF!</definedName>
    <definedName name="Hlavička_1">0</definedName>
    <definedName name="Hlavička_2">#REF!</definedName>
    <definedName name="HLAVNIPROFILT15" localSheetId="11">#REF!</definedName>
    <definedName name="HLAVNIPROFILT15" localSheetId="12">#REF!</definedName>
    <definedName name="HLAVNIPROFILT15">#REF!</definedName>
    <definedName name="HLAVNIPROFILT15_A" localSheetId="11">#REF!</definedName>
    <definedName name="HLAVNIPROFILT15_A" localSheetId="12">#REF!</definedName>
    <definedName name="HLAVNIPROFILT15_A">#REF!</definedName>
    <definedName name="HLAVNIPROFILT15_B" localSheetId="11">#REF!</definedName>
    <definedName name="HLAVNIPROFILT15_B" localSheetId="12">#REF!</definedName>
    <definedName name="HLAVNIPROFILT15_B">#REF!</definedName>
    <definedName name="HLAVNIPROFILT15_C">#REF!</definedName>
    <definedName name="HLAVNIPROFILT15_D">#REF!</definedName>
    <definedName name="HLAVNIPROFILT15_E">#REF!</definedName>
    <definedName name="HLAVNIPROFILT153000">#REF!</definedName>
    <definedName name="HLAVNIPROFILT24">#REF!</definedName>
    <definedName name="HLAVNIPROFILT24_A">#REF!</definedName>
    <definedName name="HLAVNIPROFILT24_B">#REF!</definedName>
    <definedName name="HLAVNIPROFILT24_C">#REF!</definedName>
    <definedName name="HLAVNIPROFILT24_D">#REF!</definedName>
    <definedName name="HLAVNIPROFILT24_E">#REF!</definedName>
    <definedName name="HMOZDINKAKDM">#REF!</definedName>
    <definedName name="HMOZDINKAKDM_A">#REF!</definedName>
    <definedName name="HMOZDINKAKDM_B">#REF!</definedName>
    <definedName name="HMOZDINKAKDM_C">#REF!</definedName>
    <definedName name="HMOZDINKAKDM_D">#REF!</definedName>
    <definedName name="HMOZDINKAKDM_E">#REF!</definedName>
    <definedName name="HodVyroba">'[21]Parametry'!$D$25</definedName>
    <definedName name="hovno" localSheetId="11">#REF!</definedName>
    <definedName name="hovno" localSheetId="12">#REF!</definedName>
    <definedName name="hovno">#REF!</definedName>
    <definedName name="HREBUPAT" localSheetId="11">#REF!</definedName>
    <definedName name="HREBUPAT" localSheetId="12">#REF!</definedName>
    <definedName name="HREBUPAT">#REF!</definedName>
    <definedName name="HREBUPAT_A" localSheetId="11">#REF!</definedName>
    <definedName name="HREBUPAT_A" localSheetId="12">#REF!</definedName>
    <definedName name="HREBUPAT_A">#REF!</definedName>
    <definedName name="HREBUPAT_B" localSheetId="11">#REF!</definedName>
    <definedName name="HREBUPAT_B" localSheetId="12">#REF!</definedName>
    <definedName name="HREBUPAT_B">#REF!</definedName>
    <definedName name="HREBUPAT_C">#REF!</definedName>
    <definedName name="HREBUPAT_D">#REF!</definedName>
    <definedName name="HREBUPAT_E">#REF!</definedName>
    <definedName name="HSV">'[18]Rekapitulace'!$E$9</definedName>
    <definedName name="HSV0">#REF!</definedName>
    <definedName name="HTML_CodePage" hidden="1">1250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HUTPROFIL" localSheetId="11">#REF!</definedName>
    <definedName name="HUTPROFIL" localSheetId="12">#REF!</definedName>
    <definedName name="HUTPROFIL">#REF!</definedName>
    <definedName name="HUTPROFIL_A" localSheetId="11">#REF!</definedName>
    <definedName name="HUTPROFIL_A" localSheetId="12">#REF!</definedName>
    <definedName name="HUTPROFIL_A">#REF!</definedName>
    <definedName name="HUTPROFIL_B" localSheetId="11">#REF!</definedName>
    <definedName name="HUTPROFIL_B" localSheetId="12">#REF!</definedName>
    <definedName name="HUTPROFIL_B">#REF!</definedName>
    <definedName name="HUTPROFIL_C">#REF!</definedName>
    <definedName name="HUTPROFIL_D">#REF!</definedName>
    <definedName name="HUTPROFIL_E">#REF!</definedName>
    <definedName name="HZS">'[18]Rekapitulace'!$I$9</definedName>
    <definedName name="HZS0">#REF!</definedName>
    <definedName name="chf">#REF!</definedName>
    <definedName name="IC">#REF!</definedName>
    <definedName name="Import1">#REF!</definedName>
    <definedName name="Import1_1">#REF!</definedName>
    <definedName name="Import1_2">#REF!</definedName>
    <definedName name="Import2">#REF!</definedName>
    <definedName name="instr">#REF!</definedName>
    <definedName name="instr_rozv">#REF!</definedName>
    <definedName name="Integr_poslední">#REF!</definedName>
    <definedName name="inter1" localSheetId="11">#REF!</definedName>
    <definedName name="inter1" localSheetId="12">#REF!</definedName>
    <definedName name="inter1">#REF!</definedName>
    <definedName name="izolace">#REF!</definedName>
    <definedName name="Izolace_akustické">#REF!</definedName>
    <definedName name="Izolace_proti_vodě">#REF!</definedName>
    <definedName name="JEZDECCDPROFILU" localSheetId="11">#REF!</definedName>
    <definedName name="JEZDECCDPROFILU" localSheetId="12">#REF!</definedName>
    <definedName name="JEZDECCDPROFILU">#REF!</definedName>
    <definedName name="JEZDECCDPROFILU_A" localSheetId="11">#REF!</definedName>
    <definedName name="JEZDECCDPROFILU_A" localSheetId="12">#REF!</definedName>
    <definedName name="JEZDECCDPROFILU_A">#REF!</definedName>
    <definedName name="JEZDECCDPROFILU_B" localSheetId="11">#REF!</definedName>
    <definedName name="JEZDECCDPROFILU_B" localSheetId="12">#REF!</definedName>
    <definedName name="JEZDECCDPROFILU_B">#REF!</definedName>
    <definedName name="JEZDECCDPROFILU_C">#REF!</definedName>
    <definedName name="JEZDECCDPROFILU_D">#REF!</definedName>
    <definedName name="JEZDECCDPROFILU_E">#REF!</definedName>
    <definedName name="JKSO">#REF!</definedName>
    <definedName name="joeqrgjjú">#REF!</definedName>
    <definedName name="JOSEF">#REF!</definedName>
    <definedName name="jzzuggt">#REF!</definedName>
    <definedName name="k_6_ko">#REF!</definedName>
    <definedName name="k_6_sz">#REF!</definedName>
    <definedName name="k_8_ko">#REF!</definedName>
    <definedName name="k_8_sz">#REF!</definedName>
    <definedName name="kab">#REF!</definedName>
    <definedName name="kabn">#REF!</definedName>
    <definedName name="KAZ_1">#REF!</definedName>
    <definedName name="KAZ_1_A">#REF!</definedName>
    <definedName name="KAZ_1_B">#REF!</definedName>
    <definedName name="KAZ_1_C">#REF!</definedName>
    <definedName name="KAZ_1_D">#REF!</definedName>
    <definedName name="KAZ_1_E">#REF!</definedName>
    <definedName name="KAZ_1_M">#REF!</definedName>
    <definedName name="KAZ_1_P">#REF!</definedName>
    <definedName name="KAZ_10">#REF!</definedName>
    <definedName name="KAZ_10_A">#REF!</definedName>
    <definedName name="KAZ_10_B">#REF!</definedName>
    <definedName name="KAZ_10_C">#REF!</definedName>
    <definedName name="KAZ_10_D">#REF!</definedName>
    <definedName name="KAZ_10_E">#REF!</definedName>
    <definedName name="KAZ_10_M">#REF!</definedName>
    <definedName name="KAZ_10_P">#REF!</definedName>
    <definedName name="KAZ_11">#REF!</definedName>
    <definedName name="KAZ_11_A">#REF!</definedName>
    <definedName name="KAZ_11_B">#REF!</definedName>
    <definedName name="KAZ_11_C">#REF!</definedName>
    <definedName name="KAZ_11_D">#REF!</definedName>
    <definedName name="KAZ_11_E">#REF!</definedName>
    <definedName name="KAZ_11_M">#REF!</definedName>
    <definedName name="KAZ_11_P">#REF!</definedName>
    <definedName name="KAZ_12">#REF!</definedName>
    <definedName name="KAZ_12_A">#REF!</definedName>
    <definedName name="KAZ_12_B">#REF!</definedName>
    <definedName name="KAZ_12_C">#REF!</definedName>
    <definedName name="KAZ_12_D">#REF!</definedName>
    <definedName name="KAZ_12_E">#REF!</definedName>
    <definedName name="KAZ_12_M">#REF!</definedName>
    <definedName name="KAZ_12_P">#REF!</definedName>
    <definedName name="KAZ_13">#REF!</definedName>
    <definedName name="KAZ_13_A">#REF!</definedName>
    <definedName name="KAZ_13_B">#REF!</definedName>
    <definedName name="KAZ_13_C">#REF!</definedName>
    <definedName name="KAZ_13_D">#REF!</definedName>
    <definedName name="KAZ_13_E">#REF!</definedName>
    <definedName name="KAZ_13_M">#REF!</definedName>
    <definedName name="KAZ_13_P">#REF!</definedName>
    <definedName name="KAZ_14">#REF!</definedName>
    <definedName name="KAZ_14_A">#REF!</definedName>
    <definedName name="KAZ_14_B">#REF!</definedName>
    <definedName name="KAZ_14_C">#REF!</definedName>
    <definedName name="KAZ_14_D">#REF!</definedName>
    <definedName name="KAZ_14_E">#REF!</definedName>
    <definedName name="KAZ_14_M">#REF!</definedName>
    <definedName name="KAZ_14_P">#REF!</definedName>
    <definedName name="KAZ_15">#REF!</definedName>
    <definedName name="KAZ_15_A">#REF!</definedName>
    <definedName name="KAZ_15_B">#REF!</definedName>
    <definedName name="KAZ_15_C">#REF!</definedName>
    <definedName name="KAZ_15_D">#REF!</definedName>
    <definedName name="KAZ_15_E">#REF!</definedName>
    <definedName name="KAZ_15_M">#REF!</definedName>
    <definedName name="KAZ_15_P">#REF!</definedName>
    <definedName name="KAZ_16">#REF!</definedName>
    <definedName name="KAZ_16_A">#REF!</definedName>
    <definedName name="KAZ_16_B">#REF!</definedName>
    <definedName name="KAZ_16_C">#REF!</definedName>
    <definedName name="KAZ_16_D">#REF!</definedName>
    <definedName name="KAZ_16_E">#REF!</definedName>
    <definedName name="KAZ_16_M">#REF!</definedName>
    <definedName name="KAZ_16_P">#REF!</definedName>
    <definedName name="KAZ_17">#REF!</definedName>
    <definedName name="KAZ_17_A">#REF!</definedName>
    <definedName name="KAZ_17_B">#REF!</definedName>
    <definedName name="KAZ_17_C">#REF!</definedName>
    <definedName name="KAZ_17_D">#REF!</definedName>
    <definedName name="KAZ_17_E">#REF!</definedName>
    <definedName name="KAZ_17_M">#REF!</definedName>
    <definedName name="KAZ_17_P">#REF!</definedName>
    <definedName name="KAZ_18">#REF!</definedName>
    <definedName name="KAZ_18_A">#REF!</definedName>
    <definedName name="KAZ_18_B">#REF!</definedName>
    <definedName name="KAZ_18_C">#REF!</definedName>
    <definedName name="KAZ_18_D">#REF!</definedName>
    <definedName name="KAZ_18_E">#REF!</definedName>
    <definedName name="KAZ_18_M">#REF!</definedName>
    <definedName name="KAZ_18_P">#REF!</definedName>
    <definedName name="KAZ_19">#REF!</definedName>
    <definedName name="KAZ_19_A">#REF!</definedName>
    <definedName name="KAZ_19_B">#REF!</definedName>
    <definedName name="KAZ_19_C">#REF!</definedName>
    <definedName name="KAZ_19_D">#REF!</definedName>
    <definedName name="KAZ_19_E">#REF!</definedName>
    <definedName name="KAZ_19_M">#REF!</definedName>
    <definedName name="KAZ_19_P">#REF!</definedName>
    <definedName name="KAZ_2">#REF!</definedName>
    <definedName name="KAZ_2_A">#REF!</definedName>
    <definedName name="KAZ_2_B">#REF!</definedName>
    <definedName name="KAZ_2_C">#REF!</definedName>
    <definedName name="KAZ_2_D">#REF!</definedName>
    <definedName name="KAZ_2_E">#REF!</definedName>
    <definedName name="KAZ_2_M">#REF!</definedName>
    <definedName name="KAZ_2_P">#REF!</definedName>
    <definedName name="KAZ_20">#REF!</definedName>
    <definedName name="KAZ_20_A">#REF!</definedName>
    <definedName name="KAZ_20_B">#REF!</definedName>
    <definedName name="KAZ_20_C">#REF!</definedName>
    <definedName name="KAZ_20_D">#REF!</definedName>
    <definedName name="KAZ_20_E">#REF!</definedName>
    <definedName name="KAZ_20_M">#REF!</definedName>
    <definedName name="KAZ_20_P">#REF!</definedName>
    <definedName name="KAZ_21">#REF!</definedName>
    <definedName name="KAZ_21_A">#REF!</definedName>
    <definedName name="KAZ_21_B">#REF!</definedName>
    <definedName name="KAZ_21_C">#REF!</definedName>
    <definedName name="KAZ_21_D">#REF!</definedName>
    <definedName name="KAZ_21_E">#REF!</definedName>
    <definedName name="KAZ_21_M">#REF!</definedName>
    <definedName name="KAZ_21_P">#REF!</definedName>
    <definedName name="KAZ_22">#REF!</definedName>
    <definedName name="KAZ_22_A">#REF!</definedName>
    <definedName name="KAZ_22_B">#REF!</definedName>
    <definedName name="KAZ_22_C">#REF!</definedName>
    <definedName name="KAZ_22_D">#REF!</definedName>
    <definedName name="KAZ_22_E">#REF!</definedName>
    <definedName name="KAZ_22_M">#REF!</definedName>
    <definedName name="KAZ_22_P">#REF!</definedName>
    <definedName name="KAZ_3">#REF!</definedName>
    <definedName name="KAZ_3_A">#REF!</definedName>
    <definedName name="KAZ_3_B">#REF!</definedName>
    <definedName name="KAZ_3_C">#REF!</definedName>
    <definedName name="KAZ_3_D">#REF!</definedName>
    <definedName name="KAZ_3_E">#REF!</definedName>
    <definedName name="KAZ_3_M">#REF!</definedName>
    <definedName name="KAZ_3_P">#REF!</definedName>
    <definedName name="KAZ_4">#REF!</definedName>
    <definedName name="KAZ_4_A">#REF!</definedName>
    <definedName name="KAZ_4_B">#REF!</definedName>
    <definedName name="KAZ_4_C">#REF!</definedName>
    <definedName name="KAZ_4_D">#REF!</definedName>
    <definedName name="KAZ_4_E">#REF!</definedName>
    <definedName name="KAZ_4_M">#REF!</definedName>
    <definedName name="KAZ_4_P">#REF!</definedName>
    <definedName name="KAZ_5">#REF!</definedName>
    <definedName name="KAZ_5_A">#REF!</definedName>
    <definedName name="KAZ_5_B">#REF!</definedName>
    <definedName name="KAZ_5_C">#REF!</definedName>
    <definedName name="KAZ_5_D">#REF!</definedName>
    <definedName name="KAZ_5_E">#REF!</definedName>
    <definedName name="KAZ_5_M">#REF!</definedName>
    <definedName name="KAZ_5_P">#REF!</definedName>
    <definedName name="KAZ_6">#REF!</definedName>
    <definedName name="KAZ_6_A">#REF!</definedName>
    <definedName name="KAZ_6_B">#REF!</definedName>
    <definedName name="KAZ_6_C">#REF!</definedName>
    <definedName name="KAZ_6_D">#REF!</definedName>
    <definedName name="KAZ_6_E">#REF!</definedName>
    <definedName name="KAZ_6_M">#REF!</definedName>
    <definedName name="KAZ_6_P">#REF!</definedName>
    <definedName name="KAZ_7">#REF!</definedName>
    <definedName name="KAZ_7_A">#REF!</definedName>
    <definedName name="KAZ_7_B">#REF!</definedName>
    <definedName name="KAZ_7_C">#REF!</definedName>
    <definedName name="KAZ_7_D">#REF!</definedName>
    <definedName name="KAZ_7_E">#REF!</definedName>
    <definedName name="KAZ_7_M">#REF!</definedName>
    <definedName name="KAZ_7_P">#REF!</definedName>
    <definedName name="KAZ_8">#REF!</definedName>
    <definedName name="KAZ_8_A">#REF!</definedName>
    <definedName name="KAZ_8_B">#REF!</definedName>
    <definedName name="KAZ_8_C">#REF!</definedName>
    <definedName name="KAZ_8_D">#REF!</definedName>
    <definedName name="KAZ_8_E">#REF!</definedName>
    <definedName name="KAZ_8_M">#REF!</definedName>
    <definedName name="KAZ_8_P">#REF!</definedName>
    <definedName name="KAZ_9">#REF!</definedName>
    <definedName name="KAZ_9_A">#REF!</definedName>
    <definedName name="KAZ_9_B">#REF!</definedName>
    <definedName name="KAZ_9_C">#REF!</definedName>
    <definedName name="KAZ_9_D">#REF!</definedName>
    <definedName name="KAZ_9_E">#REF!</definedName>
    <definedName name="KAZ_9_M">#REF!</definedName>
    <definedName name="KAZ_9_P">#REF!</definedName>
    <definedName name="KM">'[22]dodav'!$E$7</definedName>
    <definedName name="kmn">'[23]dodav'!$E$6</definedName>
    <definedName name="KMVIMPERK1">'[24]mont'!$E$5</definedName>
    <definedName name="Kod" localSheetId="11">#REF!</definedName>
    <definedName name="Kod" localSheetId="12">#REF!</definedName>
    <definedName name="Kod">#REF!</definedName>
    <definedName name="Kod_1">0</definedName>
    <definedName name="Kod_2">#REF!</definedName>
    <definedName name="KoefDopr">#REF!</definedName>
    <definedName name="Komunikace">#REF!</definedName>
    <definedName name="konec">#REF!</definedName>
    <definedName name="Konstrukce_klempířské">#REF!</definedName>
    <definedName name="Konstrukce_tesařské">#REF!</definedName>
    <definedName name="Konstrukce_truhlářské">#REF!</definedName>
    <definedName name="KONSTRUKCEPROBATERIE" localSheetId="11">#REF!</definedName>
    <definedName name="KONSTRUKCEPROBATERIE" localSheetId="12">#REF!</definedName>
    <definedName name="KONSTRUKCEPROBATERIE">#REF!</definedName>
    <definedName name="KONSTRUKCEPROBATERIE_A" localSheetId="11">#REF!</definedName>
    <definedName name="KONSTRUKCEPROBATERIE_A" localSheetId="12">#REF!</definedName>
    <definedName name="KONSTRUKCEPROBATERIE_A">#REF!</definedName>
    <definedName name="KONSTRUKCEPROBATERIE_B" localSheetId="11">#REF!</definedName>
    <definedName name="KONSTRUKCEPROBATERIE_B" localSheetId="12">#REF!</definedName>
    <definedName name="KONSTRUKCEPROBATERIE_B">#REF!</definedName>
    <definedName name="KONSTRUKCEPROBATERIE_C">#REF!</definedName>
    <definedName name="KONSTRUKCEPROBATERIE_D">#REF!</definedName>
    <definedName name="KONSTRUKCEPROBATERIE_E">#REF!</definedName>
    <definedName name="KONSTRUKCEPROBIDET">#REF!</definedName>
    <definedName name="KONSTRUKCEPROBIDET_A">#REF!</definedName>
    <definedName name="KONSTRUKCEPROBIDET_B">#REF!</definedName>
    <definedName name="KONSTRUKCEPROBIDET_C">#REF!</definedName>
    <definedName name="KONSTRUKCEPROBIDET_D">#REF!</definedName>
    <definedName name="KONSTRUKCEPROBIDET_E">#REF!</definedName>
    <definedName name="KONSTRUKCEPROPISOARY">#REF!</definedName>
    <definedName name="KONSTRUKCEPROPISOARY_A">#REF!</definedName>
    <definedName name="KONSTRUKCEPROPISOARY_B">#REF!</definedName>
    <definedName name="KONSTRUKCEPROPISOARY_C">#REF!</definedName>
    <definedName name="KONSTRUKCEPROPISOARY_D">#REF!</definedName>
    <definedName name="KONSTRUKCEPROPISOARY_E">#REF!</definedName>
    <definedName name="KONSTRUKCEPROPOTRUBI">#REF!</definedName>
    <definedName name="KONSTRUKCEPROPOTRUBI_A">#REF!</definedName>
    <definedName name="KONSTRUKCEPROPOTRUBI_B">#REF!</definedName>
    <definedName name="KONSTRUKCEPROPOTRUBI_C">#REF!</definedName>
    <definedName name="KONSTRUKCEPROPOTRUBI_D">#REF!</definedName>
    <definedName name="KONSTRUKCEPROPOTRUBI_E">#REF!</definedName>
    <definedName name="KONSTRUKCEPROUMYVADLA">#REF!</definedName>
    <definedName name="KONSTRUKCEPROUMYVADLA_A">#REF!</definedName>
    <definedName name="KONSTRUKCEPROUMYVADLA_B">#REF!</definedName>
    <definedName name="KONSTRUKCEPROUMYVADLA_C">#REF!</definedName>
    <definedName name="KONSTRUKCEPROUMYVADLA_D">#REF!</definedName>
    <definedName name="KONSTRUKCEPROUMYVADLA_E">#REF!</definedName>
    <definedName name="KONSTRUKCEPROWC">#REF!</definedName>
    <definedName name="KONSTRUKCEPROWC_A">#REF!</definedName>
    <definedName name="KONSTRUKCEPROWC_B">#REF!</definedName>
    <definedName name="KONSTRUKCEPROWC_C">#REF!</definedName>
    <definedName name="KONSTRUKCEPROWC_D">#REF!</definedName>
    <definedName name="KONSTRUKCEPROWC_E">#REF!</definedName>
    <definedName name="Kovové_stavební_doplňkové_konstrukce">#REF!</definedName>
    <definedName name="kr_15">#REF!</definedName>
    <definedName name="kr_15_ła">#REF!</definedName>
    <definedName name="KRIZOVASPOJKA" localSheetId="11">#REF!</definedName>
    <definedName name="KRIZOVASPOJKA" localSheetId="12">#REF!</definedName>
    <definedName name="KRIZOVASPOJKA">#REF!</definedName>
    <definedName name="KRIZOVASPOJKA_A">#REF!</definedName>
    <definedName name="KRIZOVASPOJKA_B">#REF!</definedName>
    <definedName name="KRIZOVASPOJKA_C">#REF!</definedName>
    <definedName name="KRIZOVASPOJKA_D">#REF!</definedName>
    <definedName name="KRIZOVASPOJKA_E">#REF!</definedName>
    <definedName name="KRYCIPROFILPVC33X12">#REF!</definedName>
    <definedName name="KRYCIPROFILPVC33X12_A">#REF!</definedName>
    <definedName name="KRYCIPROFILPVC33X12_B">#REF!</definedName>
    <definedName name="KRYCIPROFILPVC33X12_C">#REF!</definedName>
    <definedName name="KRYCIPROFILPVC33X12_D">#REF!</definedName>
    <definedName name="KRYCIPROFILPVC33X12_E">#REF!</definedName>
    <definedName name="ks">#REF!</definedName>
    <definedName name="KSDK">#REF!</definedName>
    <definedName name="kuchyně">'[4]Budova'!$A$1947:$A$2081</definedName>
    <definedName name="L">#REF!</definedName>
    <definedName name="la">#REF!</definedName>
    <definedName name="LAGUNA_B" localSheetId="11">#REF!</definedName>
    <definedName name="LAGUNA_B" localSheetId="12">#REF!</definedName>
    <definedName name="LAGUNA_B">#REF!</definedName>
    <definedName name="LAGUNA_C" localSheetId="11">#REF!</definedName>
    <definedName name="LAGUNA_C" localSheetId="12">#REF!</definedName>
    <definedName name="LAGUNA_C">#REF!</definedName>
    <definedName name="LAGUNA_D" localSheetId="11">#REF!</definedName>
    <definedName name="LAGUNA_D" localSheetId="12">#REF!</definedName>
    <definedName name="LAGUNA_D">#REF!</definedName>
    <definedName name="LAGUNA_E">#REF!</definedName>
    <definedName name="LAMELABASE_A">#REF!</definedName>
    <definedName name="LAMELABASE_B">#REF!</definedName>
    <definedName name="LAMELABASE_C">#REF!</definedName>
    <definedName name="LAMELABASE_D">#REF!</definedName>
    <definedName name="LAMELABASE_E">#REF!</definedName>
    <definedName name="LAMELALINE8_A">#REF!</definedName>
    <definedName name="LAMELALINE8_B">#REF!</definedName>
    <definedName name="LAMELALINE8_C">#REF!</definedName>
    <definedName name="LAMELALINE8_D">#REF!</definedName>
    <definedName name="LAMELALINE8_E">#REF!</definedName>
    <definedName name="LAMELAPOINT15_A">#REF!</definedName>
    <definedName name="LAMELAPOINT15_B">#REF!</definedName>
    <definedName name="LAMELAPOINT15_C">#REF!</definedName>
    <definedName name="LAMELAPOINT15_D">#REF!</definedName>
    <definedName name="LAMELAPOINT15_E">#REF!</definedName>
    <definedName name="LEPICITMEL">#REF!</definedName>
    <definedName name="LEPICITMEL_A">#REF!</definedName>
    <definedName name="LEPICITMEL_B">#REF!</definedName>
    <definedName name="LEPICITMEL_C">#REF!</definedName>
    <definedName name="LEPICITMEL_D">#REF!</definedName>
    <definedName name="LEPICITMEL_E">#REF!</definedName>
    <definedName name="LEPICITMEL40KG_A">#REF!</definedName>
    <definedName name="LEPICITMEL40KG_B">#REF!</definedName>
    <definedName name="LEPICITMEL40KG_C">#REF!</definedName>
    <definedName name="LEPICITMEL40KG_D">#REF!</definedName>
    <definedName name="LEPICITMEL40KG_E">#REF!</definedName>
    <definedName name="LIAPOR">#REF!</definedName>
    <definedName name="LIAPOR_A">#REF!</definedName>
    <definedName name="LIAPOR_B">#REF!</definedName>
    <definedName name="LIAPOR_C">#REF!</definedName>
    <definedName name="LIAPOR_D">#REF!</definedName>
    <definedName name="LIAPOR_E">#REF!</definedName>
    <definedName name="M">#REF!</definedName>
    <definedName name="Malby__tapety__nátěry__nástřiky">#REF!</definedName>
    <definedName name="mar">'[4]Budova'!$A$2084:$A$2332</definedName>
    <definedName name="Marka">#REF!</definedName>
    <definedName name="Mena">'[19]Stavba'!$J$29</definedName>
    <definedName name="MICROE24" localSheetId="11">#REF!</definedName>
    <definedName name="MICROE24" localSheetId="12">#REF!</definedName>
    <definedName name="MICROE24">#REF!</definedName>
    <definedName name="MICROE24_A" localSheetId="11">#REF!</definedName>
    <definedName name="MICROE24_A" localSheetId="12">#REF!</definedName>
    <definedName name="MICROE24_A">#REF!</definedName>
    <definedName name="MICROE24_B" localSheetId="11">#REF!</definedName>
    <definedName name="MICROE24_B" localSheetId="12">#REF!</definedName>
    <definedName name="MICROE24_B">#REF!</definedName>
    <definedName name="MICROE24_C">#REF!</definedName>
    <definedName name="MICROE24_D">#REF!</definedName>
    <definedName name="MICROE24_E">#REF!</definedName>
    <definedName name="MJ">#REF!</definedName>
    <definedName name="MJ_12">#REF!</definedName>
    <definedName name="MJ_34">#REF!</definedName>
    <definedName name="MJ_50">#REF!</definedName>
    <definedName name="ml§guofziůfzuů">#REF!</definedName>
    <definedName name="mn">'[27]Rozp'!$I$22</definedName>
    <definedName name="MO">#REF!</definedName>
    <definedName name="MO_12">#REF!</definedName>
    <definedName name="MO_34">#REF!</definedName>
    <definedName name="MO_50">#REF!</definedName>
    <definedName name="MOLLYKOTVY4LM4_A">#REF!</definedName>
    <definedName name="MOLLYKOTVY4LM4_B">#REF!</definedName>
    <definedName name="MOLLYKOTVY4LM4_C">#REF!</definedName>
    <definedName name="MOLLYKOTVY4LM4_D">#REF!</definedName>
    <definedName name="MOLLYKOTVY4LM4_E">#REF!</definedName>
    <definedName name="MOLLYKOTVY4SM4">#REF!</definedName>
    <definedName name="MOLLYKOTVY4SM4_A">#REF!</definedName>
    <definedName name="MOLLYKOTVY4SM4_B">#REF!</definedName>
    <definedName name="MOLLYKOTVY4SM4_C">#REF!</definedName>
    <definedName name="MOLLYKOTVY4SM4_D">#REF!</definedName>
    <definedName name="MOLLYKOTVY4SM4_E">#REF!</definedName>
    <definedName name="MOLLYKOTVY6LM5_A">#REF!</definedName>
    <definedName name="MOLLYKOTVY6LM5_B">#REF!</definedName>
    <definedName name="MOLLYKOTVY6LM5_C">#REF!</definedName>
    <definedName name="MOLLYKOTVY6LM5_D">#REF!</definedName>
    <definedName name="MOLLYKOTVY6LM5_E">#REF!</definedName>
    <definedName name="MOLLYKOTVY6SM5">#REF!</definedName>
    <definedName name="MOLLYKOTVY6SM5_A">#REF!</definedName>
    <definedName name="MOLLYKOTVY6SM5_B">#REF!</definedName>
    <definedName name="MOLLYKOTVY6SM5_C">#REF!</definedName>
    <definedName name="MOLLYKOTVY6SM5_D">#REF!</definedName>
    <definedName name="MOLLYKOTVY6SM5_E">#REF!</definedName>
    <definedName name="MOLLYKOTVY8LM6">#REF!</definedName>
    <definedName name="MOLLYKOTVY8LM6_A">#REF!</definedName>
    <definedName name="MOLLYKOTVY8LM6_B">#REF!</definedName>
    <definedName name="MOLLYKOTVY8LM6_C">#REF!</definedName>
    <definedName name="MOLLYKOTVY8LM6_D">#REF!</definedName>
    <definedName name="MOLLYKOTVY8LM6_E">#REF!</definedName>
    <definedName name="MOLLYKOTVY8SM6">#REF!</definedName>
    <definedName name="MOLLYKOTVY8SM6_A">#REF!</definedName>
    <definedName name="MOLLYKOTVY8SM6_B">#REF!</definedName>
    <definedName name="MOLLYKOTVY8SM6_C">#REF!</definedName>
    <definedName name="MOLLYKOTVY8SM6_D">#REF!</definedName>
    <definedName name="MOLLYKOTVY8SM6_E">#REF!</definedName>
    <definedName name="Mont">'[18]Rekapitulace'!$H$9</definedName>
    <definedName name="MONT_12">#REF!</definedName>
    <definedName name="MONT_34">#REF!</definedName>
    <definedName name="MONT_50">#REF!</definedName>
    <definedName name="Montaz0">#REF!</definedName>
    <definedName name="MONTAZNIPENA" localSheetId="11">#REF!</definedName>
    <definedName name="MONTAZNIPENA" localSheetId="12">#REF!</definedName>
    <definedName name="MONTAZNIPENA">#REF!</definedName>
    <definedName name="MONTAZNIPENA_A" localSheetId="11">#REF!</definedName>
    <definedName name="MONTAZNIPENA_A" localSheetId="12">#REF!</definedName>
    <definedName name="MONTAZNIPENA_A">#REF!</definedName>
    <definedName name="MONTAZNIPENA_B" localSheetId="11">#REF!</definedName>
    <definedName name="MONTAZNIPENA_B" localSheetId="12">#REF!</definedName>
    <definedName name="MONTAZNIPENA_B">#REF!</definedName>
    <definedName name="MONTAZNIPENA_C">#REF!</definedName>
    <definedName name="MONTAZNIPENA_D">#REF!</definedName>
    <definedName name="MONTAZNIPENA_E">#REF!</definedName>
    <definedName name="MTG">'[5]SO 01 - 06 ELEKTROINSTALACE'!$B$9644</definedName>
    <definedName name="mts">#REF!</definedName>
    <definedName name="MZDY_1" localSheetId="11">#REF!</definedName>
    <definedName name="MZDY_1" localSheetId="12">#REF!</definedName>
    <definedName name="MZDY_1">#REF!</definedName>
    <definedName name="MZDY_10" localSheetId="11">#REF!</definedName>
    <definedName name="MZDY_10" localSheetId="12">#REF!</definedName>
    <definedName name="MZDY_10">#REF!</definedName>
    <definedName name="MZDY_11">#REF!</definedName>
    <definedName name="MZDY_12">#REF!</definedName>
    <definedName name="MZDY_13">#REF!</definedName>
    <definedName name="MZDY_14">#REF!</definedName>
    <definedName name="MZDY_15">#REF!</definedName>
    <definedName name="MZDY_16">#REF!</definedName>
    <definedName name="MZDY_17">#REF!</definedName>
    <definedName name="MZDY_18">#REF!</definedName>
    <definedName name="MZDY_19">#REF!</definedName>
    <definedName name="MZDY_2">#REF!</definedName>
    <definedName name="MZDY_20">#REF!</definedName>
    <definedName name="MZDY_21">#REF!</definedName>
    <definedName name="MZDY_22">#REF!</definedName>
    <definedName name="MZDY_23">#REF!</definedName>
    <definedName name="MZDY_24">#REF!</definedName>
    <definedName name="MZDY_25">#REF!</definedName>
    <definedName name="MZDY_26">#REF!</definedName>
    <definedName name="MZDY_27">#REF!</definedName>
    <definedName name="MZDY_28">#REF!</definedName>
    <definedName name="MZDY_29">#REF!</definedName>
    <definedName name="MZDY_3">#REF!</definedName>
    <definedName name="MZDY_4">#REF!</definedName>
    <definedName name="MZDY_5">#REF!</definedName>
    <definedName name="MZDY_6">#REF!</definedName>
    <definedName name="MZDY_7">#REF!</definedName>
    <definedName name="MZDY_8">#REF!</definedName>
    <definedName name="MZDY_9">#REF!</definedName>
    <definedName name="MZDY_A">#REF!</definedName>
    <definedName name="MZDY_B">#REF!</definedName>
    <definedName name="MZDY_C">#REF!</definedName>
    <definedName name="MZDY_DS_A">#REF!</definedName>
    <definedName name="NabCeny">#REF!</definedName>
    <definedName name="NabHlav1">#REF!</definedName>
    <definedName name="NabHlav2">#REF!</definedName>
    <definedName name="NabHlPříZač">#REF!</definedName>
    <definedName name="NabHRoz1">#REF!</definedName>
    <definedName name="NabHRoz2">#REF!</definedName>
    <definedName name="NabHRoz3">#REF!</definedName>
    <definedName name="NabProjekt">#REF!</definedName>
    <definedName name="NabPřehledCen">#REF!</definedName>
    <definedName name="NabSpecifikace">#REF!</definedName>
    <definedName name="nad">#REF!</definedName>
    <definedName name="NákladyProjekt">#REF!</definedName>
    <definedName name="NATLOUKACIHMOZDINKA635" localSheetId="11">#REF!</definedName>
    <definedName name="NATLOUKACIHMOZDINKA635" localSheetId="12">#REF!</definedName>
    <definedName name="NATLOUKACIHMOZDINKA635">#REF!</definedName>
    <definedName name="NATLOUKACIHMOZDINKA635_A" localSheetId="11">#REF!</definedName>
    <definedName name="NATLOUKACIHMOZDINKA635_A" localSheetId="12">#REF!</definedName>
    <definedName name="NATLOUKACIHMOZDINKA635_A">#REF!</definedName>
    <definedName name="NATLOUKACIHMOZDINKA635_B" localSheetId="11">#REF!</definedName>
    <definedName name="NATLOUKACIHMOZDINKA635_B" localSheetId="12">#REF!</definedName>
    <definedName name="NATLOUKACIHMOZDINKA635_B">#REF!</definedName>
    <definedName name="NATLOUKACIHMOZDINKA635_C">#REF!</definedName>
    <definedName name="NATLOUKACIHMOZDINKA635_D">#REF!</definedName>
    <definedName name="NATLOUKACIHMOZDINKA635_E">#REF!</definedName>
    <definedName name="NATLOUKACIHMOZDINKA645">#REF!</definedName>
    <definedName name="NATLOUKACIHMOZDINKA645_A">#REF!</definedName>
    <definedName name="NATLOUKACIHMOZDINKA645_B">#REF!</definedName>
    <definedName name="NATLOUKACIHMOZDINKA645_C">#REF!</definedName>
    <definedName name="NATLOUKACIHMOZDINKA645_D">#REF!</definedName>
    <definedName name="NATLOUKACIHMOZDINKA645_E">#REF!</definedName>
    <definedName name="NATLOUKACIHMOZDINKA660_A">#REF!</definedName>
    <definedName name="NATLOUKACIHMOZDINKA660_B">#REF!</definedName>
    <definedName name="NATLOUKACIHMOZDINKA660_C">#REF!</definedName>
    <definedName name="NATLOUKACIHMOZDINKA660_D">#REF!</definedName>
    <definedName name="NATLOUKACIHMOZDINKA660_E">#REF!</definedName>
    <definedName name="NATLOUKACIHMOZDINKA670">#REF!</definedName>
    <definedName name="NATLOUKACIHMOZDINKA670_A">#REF!</definedName>
    <definedName name="NATLOUKACIHMOZDINKA670_B">#REF!</definedName>
    <definedName name="NATLOUKACIHMOZDINKA670_C">#REF!</definedName>
    <definedName name="NATLOUKACIHMOZDINKA670_D">#REF!</definedName>
    <definedName name="NATLOUKACIHMOZDINKA670_E">#REF!</definedName>
    <definedName name="NATLOUKACIHMOZDINKYKDM_A">#REF!</definedName>
    <definedName name="NATLOUKACIHMOZDINKYKDM_B">#REF!</definedName>
    <definedName name="NATLOUKACIHMOZDINKYKDM_C">#REF!</definedName>
    <definedName name="NATLOUKACIHMOZDINKYKDM_D">#REF!</definedName>
    <definedName name="NATLOUKACIHMOZDINKYKDM_E">#REF!</definedName>
    <definedName name="NazevDilu">#REF!</definedName>
    <definedName name="nazevobjektu">#REF!</definedName>
    <definedName name="NazevRozpoctu">'[10]Krycí list'!$D$2</definedName>
    <definedName name="nazevstavby">#REF!</definedName>
    <definedName name="nbvc">#REF!</definedName>
    <definedName name="NIC">#REF!</definedName>
    <definedName name="NICOTA">#REF!</definedName>
    <definedName name="NONIUSCDCTYRBODOVYSPODNI">#REF!</definedName>
    <definedName name="NONIUSCDCTYRBODOVYSPODNI_A">#REF!</definedName>
    <definedName name="NONIUSCDCTYRBODOVYSPODNI_B">#REF!</definedName>
    <definedName name="NONIUSCDCTYRBODOVYSPODNI_C">#REF!</definedName>
    <definedName name="NONIUSCDCTYRBODOVYSPODNI_D">#REF!</definedName>
    <definedName name="NONIUSCDCTYRBODOVYSPODNI_E">#REF!</definedName>
    <definedName name="NONIUSHORNI240">#REF!</definedName>
    <definedName name="NONIUSHORNI240_A">#REF!</definedName>
    <definedName name="NONIUSHORNI240_B">#REF!</definedName>
    <definedName name="NONIUSHORNI240_C">#REF!</definedName>
    <definedName name="NONIUSHORNI240_D">#REF!</definedName>
    <definedName name="NONIUSHORNI240_E">#REF!</definedName>
    <definedName name="NONIUSHORNI340">#REF!</definedName>
    <definedName name="NONIUSHORNI340_A">#REF!</definedName>
    <definedName name="NONIUSHORNI340_B">#REF!</definedName>
    <definedName name="NONIUSHORNI340_C">#REF!</definedName>
    <definedName name="NONIUSHORNI340_D">#REF!</definedName>
    <definedName name="NONIUSHORNI340_E">#REF!</definedName>
    <definedName name="NONIUSHORNI640">#REF!</definedName>
    <definedName name="NONIUSHORNI640_A">#REF!</definedName>
    <definedName name="NONIUSHORNI640_B">#REF!</definedName>
    <definedName name="NONIUSHORNI640_C">#REF!</definedName>
    <definedName name="NONIUSHORNI640_D">#REF!</definedName>
    <definedName name="NONIUSHORNI640_E">#REF!</definedName>
    <definedName name="NONIUSHORNI840">#REF!</definedName>
    <definedName name="NONIUSHORNI840_A">#REF!</definedName>
    <definedName name="NONIUSHORNI840_B">#REF!</definedName>
    <definedName name="NONIUSHORNI840_C">#REF!</definedName>
    <definedName name="NONIUSHORNI840_D">#REF!</definedName>
    <definedName name="NONIUSHORNI840_E">#REF!</definedName>
    <definedName name="NONIUSSPODNIDIL">#REF!</definedName>
    <definedName name="NONIUSSPODNIDIL_A">#REF!</definedName>
    <definedName name="NONIUSSPODNIDIL_B">#REF!</definedName>
    <definedName name="NONIUSSPODNIDIL_C">#REF!</definedName>
    <definedName name="NONIUSSPODNIDIL_D">#REF!</definedName>
    <definedName name="NONIUSSPODNIDIL_E">#REF!</definedName>
    <definedName name="NONIUSZAVLACKA">#REF!</definedName>
    <definedName name="NONIUSZAVLACKA_A">#REF!</definedName>
    <definedName name="NONIUSZAVLACKA_B">#REF!</definedName>
    <definedName name="NONIUSZAVLACKA_C">#REF!</definedName>
    <definedName name="NONIUSZAVLACKA_D">#REF!</definedName>
    <definedName name="NONIUSZAVLACKA_E">#REF!</definedName>
    <definedName name="NOVATONEFISURED">'[28]MATERIAL'!$B$87</definedName>
    <definedName name="NOVATONEOLYMPIA" localSheetId="11">#REF!</definedName>
    <definedName name="NOVATONEOLYMPIA" localSheetId="12">#REF!</definedName>
    <definedName name="NOVATONEOLYMPIA">#REF!</definedName>
    <definedName name="NOVATONEOLYMPIA_A" localSheetId="11">#REF!</definedName>
    <definedName name="NOVATONEOLYMPIA_A" localSheetId="12">#REF!</definedName>
    <definedName name="NOVATONEOLYMPIA_A">#REF!</definedName>
    <definedName name="NOVATONEOLYMPIA_B" localSheetId="11">#REF!</definedName>
    <definedName name="NOVATONEOLYMPIA_B" localSheetId="12">#REF!</definedName>
    <definedName name="NOVATONEOLYMPIA_B">#REF!</definedName>
    <definedName name="NOVATONEOLYMPIA_C">#REF!</definedName>
    <definedName name="NOVATONEOLYMPIA_D">#REF!</definedName>
    <definedName name="NOVATONEOLYMPIA_E">#REF!</definedName>
    <definedName name="ob_8_30">#REF!</definedName>
    <definedName name="obch_sleva">#REF!</definedName>
    <definedName name="Objednatel">#REF!</definedName>
    <definedName name="Obklady_keramické">#REF!</definedName>
    <definedName name="_xlnm.Print_Area" localSheetId="1">'bourání a demolice'!$C$2:$Q$68,'bourání a demolice'!$C$74:$Q$93,'bourání a demolice'!$C$98:$Q$230</definedName>
    <definedName name="_xlnm.Print_Area" localSheetId="11">'elektro SIL+SLA'!$A$1:$F$227</definedName>
    <definedName name="_xlnm.Print_Area" localSheetId="12">'EZS+CCTV'!$A$1:$F$41</definedName>
    <definedName name="_xlnm.Print_Area" localSheetId="0">'Rekapitulace'!$C$2:$AP$71,'Rekapitulace'!$C$77:$AP$116</definedName>
    <definedName name="_xlnm.Print_Area" localSheetId="2">'sanace'!$C$2:$Q$68,'sanace'!$C$74:$Q$96,'sanace'!$C$101:$Q$350</definedName>
    <definedName name="_xlnm.Print_Area" localSheetId="3">'stavební úpravy'!$C$2:$Q$68,'stavební úpravy'!$C$74:$Q$114,'stavební úpravy'!$C$119:$Q$818</definedName>
    <definedName name="_xlnm.Print_Area" localSheetId="10">'Ústřední vytápění'!$A$1:$F$198</definedName>
    <definedName name="_xlnm.Print_Area" localSheetId="4">'venkovní plochy a nové objekty'!$C$2:$Q$70,'venkovní plochy a nové objekty'!$C$74:$Q$94,'venkovní plochy a nové objekty'!$C$98:$Q$227</definedName>
    <definedName name="_xlnm.Print_Area" localSheetId="5">'výrobky a specifikace'!$C$2:$S$68,'výrobky a specifikace'!$C$74:$S$96,'výrobky a specifikace'!$C$102:$S$240</definedName>
    <definedName name="_xlnm.Print_Area" localSheetId="9">'VZT'!$A$1:$K$388</definedName>
    <definedName name="_xlnm.Print_Area" localSheetId="7">'ZTI kanalizace'!$A$1:$F$156</definedName>
    <definedName name="_xlnm.Print_Area" localSheetId="8">'ZTI plynovod'!$A$1:$F$57</definedName>
    <definedName name="_xlnm.Print_Area" localSheetId="6">'ZTI vodovod'!$A$1:$F$118</definedName>
    <definedName name="obvod_suteren">'[29]Hrubá'!$G$11</definedName>
    <definedName name="OBVODOVYPROFILF" localSheetId="11">#REF!</definedName>
    <definedName name="OBVODOVYPROFILF" localSheetId="12">#REF!</definedName>
    <definedName name="OBVODOVYPROFILF">#REF!</definedName>
    <definedName name="OBVODOVYPROFILF_A" localSheetId="11">#REF!</definedName>
    <definedName name="OBVODOVYPROFILF_A" localSheetId="12">#REF!</definedName>
    <definedName name="OBVODOVYPROFILF_A">#REF!</definedName>
    <definedName name="OBVODOVYPROFILF_B" localSheetId="11">#REF!</definedName>
    <definedName name="OBVODOVYPROFILF_B" localSheetId="12">#REF!</definedName>
    <definedName name="OBVODOVYPROFILF_B">#REF!</definedName>
    <definedName name="OBVODOVYPROFILF_C">#REF!</definedName>
    <definedName name="OBVODOVYPROFILF_D">#REF!</definedName>
    <definedName name="OBVODOVYPROFILF_E">#REF!</definedName>
    <definedName name="OBVODOVYPROFILF13">#REF!</definedName>
    <definedName name="OBVODOVYPROFILF13_A">#REF!</definedName>
    <definedName name="OBVODOVYPROFILF13_B">#REF!</definedName>
    <definedName name="OBVODOVYPROFILF13_C">#REF!</definedName>
    <definedName name="OBVODOVYPROFILF13_D">#REF!</definedName>
    <definedName name="OBVODOVYPROFILF13_E">#REF!</definedName>
    <definedName name="OBVODOVYPROFILF16_A">#REF!</definedName>
    <definedName name="OBVODOVYPROFILF16_B">#REF!</definedName>
    <definedName name="OBVODOVYPROFILF16_C">#REF!</definedName>
    <definedName name="OBVODOVYPROFILF16_D">#REF!</definedName>
    <definedName name="OBVODOVYPROFILF16_E">#REF!</definedName>
    <definedName name="OBVODOVYPROFILL">#REF!</definedName>
    <definedName name="OBVODOVYPROFILL_A">#REF!</definedName>
    <definedName name="OBVODOVYPROFILL_B">#REF!</definedName>
    <definedName name="OBVODOVYPROFILL_C">#REF!</definedName>
    <definedName name="OBVODOVYPROFILL_D">#REF!</definedName>
    <definedName name="OBVODOVYPROFILL_E">#REF!</definedName>
    <definedName name="OHEBNAHRANA30X34">#REF!</definedName>
    <definedName name="OHEBNAHRANA30X34_A">#REF!</definedName>
    <definedName name="OHEBNAHRANA30X34_B">#REF!</definedName>
    <definedName name="OHEBNAHRANA30X34_C">#REF!</definedName>
    <definedName name="OHEBNAHRANA30X34_D">#REF!</definedName>
    <definedName name="OHEBNAHRANA30X34_E">#REF!</definedName>
    <definedName name="OHEBNYPROFIL59X7">#REF!</definedName>
    <definedName name="OHEBNYPROFIL59X7_A">#REF!</definedName>
    <definedName name="OHEBNYPROFIL59X7_B">#REF!</definedName>
    <definedName name="OHEBNYPROFIL59X7_C">#REF!</definedName>
    <definedName name="OHEBNYPROFIL59X7_D">#REF!</definedName>
    <definedName name="OHEBNYPROFIL59X7_E">#REF!</definedName>
    <definedName name="okno">#REF!</definedName>
    <definedName name="okno_1">0</definedName>
    <definedName name="OKRAJOVAPASKATRS80">#REF!</definedName>
    <definedName name="OKRAJOVAPASKATRS80_A">#REF!</definedName>
    <definedName name="OKRAJOVAPASKATRS80_B">#REF!</definedName>
    <definedName name="OKRAJOVAPASKATRS80_C">#REF!</definedName>
    <definedName name="OKRAJOVAPASKATRS80_D">#REF!</definedName>
    <definedName name="OKRAJOVAPASKATRS80_E">#REF!</definedName>
    <definedName name="OP">#REF!</definedName>
    <definedName name="OP_12">#REF!</definedName>
    <definedName name="OP_34">#REF!</definedName>
    <definedName name="OP_50">#REF!</definedName>
    <definedName name="ORCAL_CLIP_IN">#REF!</definedName>
    <definedName name="ORCALCLIPIN_A">#REF!</definedName>
    <definedName name="ORCALCLIPIN_B">#REF!</definedName>
    <definedName name="ORCALCLIPIN_C">#REF!</definedName>
    <definedName name="ORCALCLIPIN_D">#REF!</definedName>
    <definedName name="ORCALCLIPIN_E">#REF!</definedName>
    <definedName name="ORSIL40KG40MM">#REF!</definedName>
    <definedName name="ORSIL40KG40MM_A">#REF!</definedName>
    <definedName name="ORSIL40KG40MM_B">#REF!</definedName>
    <definedName name="ORSIL40KG40MM_C">#REF!</definedName>
    <definedName name="ORSIL40KG40MM_D">#REF!</definedName>
    <definedName name="ORSIL40KG40MM_E">#REF!</definedName>
    <definedName name="ORSIL45KG50MM">#REF!</definedName>
    <definedName name="ORSIL45KG50MM_A">#REF!</definedName>
    <definedName name="ORSIL45KG50MM_B">#REF!</definedName>
    <definedName name="ORSIL45KG50MM_C">#REF!</definedName>
    <definedName name="ORSIL45KG50MM_D">#REF!</definedName>
    <definedName name="ORSIL45KG50MM_E">#REF!</definedName>
    <definedName name="ORSIL65KG50MM">#REF!</definedName>
    <definedName name="ORSIL65KG50MM_A">#REF!</definedName>
    <definedName name="ORSIL65KG50MM_B">#REF!</definedName>
    <definedName name="ORSIL65KG50MM_C">#REF!</definedName>
    <definedName name="ORSIL65KG50MM_D">#REF!</definedName>
    <definedName name="ORSIL65KG50MM_E">#REF!</definedName>
    <definedName name="Ostatní_výrobky">#REF!</definedName>
    <definedName name="P">#REF!</definedName>
    <definedName name="PAPIROVAPASKA" localSheetId="11">#REF!</definedName>
    <definedName name="PAPIROVAPASKA" localSheetId="12">#REF!</definedName>
    <definedName name="PAPIROVAPASKA">#REF!</definedName>
    <definedName name="PAPIROVAPASKA_A" localSheetId="11">#REF!</definedName>
    <definedName name="PAPIROVAPASKA_A" localSheetId="12">#REF!</definedName>
    <definedName name="PAPIROVAPASKA_A">#REF!</definedName>
    <definedName name="PAPIROVAPASKA_B">#REF!</definedName>
    <definedName name="PAPIROVAPASKA_C">#REF!</definedName>
    <definedName name="PAPIROVAPASKA_D">#REF!</definedName>
    <definedName name="PAPIROVAPASKA_E">#REF!</definedName>
    <definedName name="Parametry">#REF!</definedName>
    <definedName name="PASEKKZAVESU_A">#REF!</definedName>
    <definedName name="PASEKKZAVESU_B">#REF!</definedName>
    <definedName name="PASEKKZAVESU_C">#REF!</definedName>
    <definedName name="PASEKKZAVESU_D">#REF!</definedName>
    <definedName name="PASEKKZAVESU_E">#REF!</definedName>
    <definedName name="PASKALEPICI">#REF!</definedName>
    <definedName name="PASKALEPICI_A">#REF!</definedName>
    <definedName name="PASKALEPICI_B">#REF!</definedName>
    <definedName name="PASKALEPICI_C">#REF!</definedName>
    <definedName name="PASKALEPICI_D">#REF!</definedName>
    <definedName name="PASKALEPICI_E">#REF!</definedName>
    <definedName name="PASKAOBOUSTRANNA">#REF!</definedName>
    <definedName name="PASKAOBOUSTRANNA_A">#REF!</definedName>
    <definedName name="PASKAOBOUSTRANNA_B">#REF!</definedName>
    <definedName name="PASKAOBOUSTRANNA_C">#REF!</definedName>
    <definedName name="PASKAOBOUSTRANNA_D">#REF!</definedName>
    <definedName name="PASKAOBOUSTRANNA_E">#REF!</definedName>
    <definedName name="PASKAPAROFOL">#REF!</definedName>
    <definedName name="PASKAPAROFOL_A">#REF!</definedName>
    <definedName name="PASKAPAROFOL_B">#REF!</definedName>
    <definedName name="PASKAPAROFOL_C">#REF!</definedName>
    <definedName name="PASKAPAROFOL_D">#REF!</definedName>
    <definedName name="PASKAPAROFOL_E">#REF!</definedName>
    <definedName name="PEFOLIE01">#REF!</definedName>
    <definedName name="PEFOLIE01_A">#REF!</definedName>
    <definedName name="PEFOLIE01_B">#REF!</definedName>
    <definedName name="PEFOLIE01_C">#REF!</definedName>
    <definedName name="PEFOLIE01_D">#REF!</definedName>
    <definedName name="PEFOLIE01_E">#REF!</definedName>
    <definedName name="PEFOLIE02">#REF!</definedName>
    <definedName name="PEFOLIE02_A">#REF!</definedName>
    <definedName name="PEFOLIE02_B">#REF!</definedName>
    <definedName name="PEFOLIE02_C">#REF!</definedName>
    <definedName name="PEFOLIE02_D">#REF!</definedName>
    <definedName name="PEFOLIE02_E">#REF!</definedName>
    <definedName name="Periferie">#REF!</definedName>
    <definedName name="PH">#REF!</definedName>
    <definedName name="pia">#REF!</definedName>
    <definedName name="PJ">#REF!</definedName>
    <definedName name="PJ_12">#REF!</definedName>
    <definedName name="PJ_34">#REF!</definedName>
    <definedName name="PJ_50">#REF!</definedName>
    <definedName name="PLECHPOZINK">#REF!</definedName>
    <definedName name="PLECHPOZINK_A">#REF!</definedName>
    <definedName name="PLECHPOZINK_B">#REF!</definedName>
    <definedName name="PLECHPOZINK_C">#REF!</definedName>
    <definedName name="PLECHPOZINK_D">#REF!</definedName>
    <definedName name="PLECHPOZINK_E">#REF!</definedName>
    <definedName name="pln">#REF!</definedName>
    <definedName name="plyn">'[4]Budova'!$A$917:$A$947</definedName>
    <definedName name="PN">#REF!</definedName>
    <definedName name="PN_12">#REF!</definedName>
    <definedName name="PN_34">#REF!</definedName>
    <definedName name="PN_50">#REF!</definedName>
    <definedName name="PO">#REF!</definedName>
    <definedName name="PO_12">#REF!</definedName>
    <definedName name="PO_34">#REF!</definedName>
    <definedName name="PO_50">#REF!</definedName>
    <definedName name="PocetMJ">#REF!</definedName>
    <definedName name="Podhl">#REF!</definedName>
    <definedName name="Podhledy">#REF!</definedName>
    <definedName name="PODHLEDY_1" localSheetId="11">#REF!</definedName>
    <definedName name="PODHLEDY_1" localSheetId="12">#REF!</definedName>
    <definedName name="PODHLEDY_1">#REF!</definedName>
    <definedName name="PODHLEDY_1_A" localSheetId="11">#REF!</definedName>
    <definedName name="PODHLEDY_1_A" localSheetId="12">#REF!</definedName>
    <definedName name="PODHLEDY_1_A">#REF!</definedName>
    <definedName name="PODHLEDY_1_B" localSheetId="11">#REF!</definedName>
    <definedName name="PODHLEDY_1_B" localSheetId="12">#REF!</definedName>
    <definedName name="PODHLEDY_1_B">#REF!</definedName>
    <definedName name="PODHLEDY_1_C">#REF!</definedName>
    <definedName name="PODHLEDY_1_D">#REF!</definedName>
    <definedName name="PODHLEDY_1_E">#REF!</definedName>
    <definedName name="PODHLEDY_1_M">#REF!</definedName>
    <definedName name="PODHLEDY_1_P">#REF!</definedName>
    <definedName name="PODHLEDY_10">#REF!</definedName>
    <definedName name="PODHLEDY_10_A">#REF!</definedName>
    <definedName name="PODHLEDY_10_B">#REF!</definedName>
    <definedName name="PODHLEDY_10_C">#REF!</definedName>
    <definedName name="PODHLEDY_10_D">#REF!</definedName>
    <definedName name="PODHLEDY_10_E">#REF!</definedName>
    <definedName name="PODHLEDY_10_M">#REF!</definedName>
    <definedName name="PODHLEDY_10_P">#REF!</definedName>
    <definedName name="PODHLEDY_11">#REF!</definedName>
    <definedName name="PODHLEDY_11_A">#REF!</definedName>
    <definedName name="PODHLEDY_11_B">#REF!</definedName>
    <definedName name="PODHLEDY_11_C">#REF!</definedName>
    <definedName name="PODHLEDY_11_D">#REF!</definedName>
    <definedName name="PODHLEDY_11_E">#REF!</definedName>
    <definedName name="PODHLEDY_11_M">#REF!</definedName>
    <definedName name="PODHLEDY_11_P">#REF!</definedName>
    <definedName name="PODHLEDY_12">#REF!</definedName>
    <definedName name="PODHLEDY_12_A">#REF!</definedName>
    <definedName name="PODHLEDY_12_B">#REF!</definedName>
    <definedName name="PODHLEDY_12_C">#REF!</definedName>
    <definedName name="PODHLEDY_12_D">#REF!</definedName>
    <definedName name="PODHLEDY_12_E">#REF!</definedName>
    <definedName name="PODHLEDY_12_M">#REF!</definedName>
    <definedName name="PODHLEDY_12_P">#REF!</definedName>
    <definedName name="PODHLEDY_13">#REF!</definedName>
    <definedName name="PODHLEDY_13_A">#REF!</definedName>
    <definedName name="PODHLEDY_13_B">#REF!</definedName>
    <definedName name="PODHLEDY_13_C">#REF!</definedName>
    <definedName name="PODHLEDY_13_D">#REF!</definedName>
    <definedName name="PODHLEDY_13_E">#REF!</definedName>
    <definedName name="PODHLEDY_13_M">#REF!</definedName>
    <definedName name="PODHLEDY_13_P">#REF!</definedName>
    <definedName name="PODHLEDY_14">#REF!</definedName>
    <definedName name="PODHLEDY_14_A">#REF!</definedName>
    <definedName name="PODHLEDY_14_B">#REF!</definedName>
    <definedName name="PODHLEDY_14_C">#REF!</definedName>
    <definedName name="PODHLEDY_14_D">#REF!</definedName>
    <definedName name="PODHLEDY_14_E">#REF!</definedName>
    <definedName name="PODHLEDY_14_M">#REF!</definedName>
    <definedName name="PODHLEDY_14_P">#REF!</definedName>
    <definedName name="PODHLEDY_15">#REF!</definedName>
    <definedName name="PODHLEDY_15_A">#REF!</definedName>
    <definedName name="PODHLEDY_15_B">#REF!</definedName>
    <definedName name="PODHLEDY_15_C">#REF!</definedName>
    <definedName name="PODHLEDY_15_D">#REF!</definedName>
    <definedName name="PODHLEDY_15_E">#REF!</definedName>
    <definedName name="PODHLEDY_15_M">#REF!</definedName>
    <definedName name="PODHLEDY_15_P">#REF!</definedName>
    <definedName name="PODHLEDY_16">#REF!</definedName>
    <definedName name="PODHLEDY_16_A">#REF!</definedName>
    <definedName name="PODHLEDY_16_B">#REF!</definedName>
    <definedName name="PODHLEDY_16_C">#REF!</definedName>
    <definedName name="PODHLEDY_16_D">#REF!</definedName>
    <definedName name="PODHLEDY_16_E">#REF!</definedName>
    <definedName name="PODHLEDY_16_M">#REF!</definedName>
    <definedName name="PODHLEDY_16_P">#REF!</definedName>
    <definedName name="PODHLEDY_17">#REF!</definedName>
    <definedName name="PODHLEDY_17_A">#REF!</definedName>
    <definedName name="PODHLEDY_17_B">#REF!</definedName>
    <definedName name="PODHLEDY_17_C">#REF!</definedName>
    <definedName name="PODHLEDY_17_D">#REF!</definedName>
    <definedName name="PODHLEDY_17_E">#REF!</definedName>
    <definedName name="PODHLEDY_17_M">#REF!</definedName>
    <definedName name="PODHLEDY_17_P">#REF!</definedName>
    <definedName name="PODHLEDY_18">#REF!</definedName>
    <definedName name="PODHLEDY_18_A">#REF!</definedName>
    <definedName name="PODHLEDY_18_B">#REF!</definedName>
    <definedName name="PODHLEDY_18_C">#REF!</definedName>
    <definedName name="PODHLEDY_18_D">#REF!</definedName>
    <definedName name="PODHLEDY_18_E">#REF!</definedName>
    <definedName name="PODHLEDY_18_M">#REF!</definedName>
    <definedName name="PODHLEDY_18_P">#REF!</definedName>
    <definedName name="PODHLEDY_19">#REF!</definedName>
    <definedName name="PODHLEDY_19_A">#REF!</definedName>
    <definedName name="PODHLEDY_19_B">#REF!</definedName>
    <definedName name="PODHLEDY_19_C">#REF!</definedName>
    <definedName name="PODHLEDY_19_D">#REF!</definedName>
    <definedName name="PODHLEDY_19_E">#REF!</definedName>
    <definedName name="PODHLEDY_19_M">#REF!</definedName>
    <definedName name="PODHLEDY_19_P">#REF!</definedName>
    <definedName name="PODHLEDY_2">#REF!</definedName>
    <definedName name="PODHLEDY_2_A">#REF!</definedName>
    <definedName name="PODHLEDY_2_B">#REF!</definedName>
    <definedName name="PODHLEDY_2_C">#REF!</definedName>
    <definedName name="PODHLEDY_2_D">#REF!</definedName>
    <definedName name="PODHLEDY_2_E">#REF!</definedName>
    <definedName name="PODHLEDY_2_M">#REF!</definedName>
    <definedName name="PODHLEDY_2_P">#REF!</definedName>
    <definedName name="PODHLEDY_20">#REF!</definedName>
    <definedName name="PODHLEDY_20_A">#REF!</definedName>
    <definedName name="PODHLEDY_20_B">#REF!</definedName>
    <definedName name="PODHLEDY_20_C">#REF!</definedName>
    <definedName name="PODHLEDY_20_D">#REF!</definedName>
    <definedName name="PODHLEDY_20_E">#REF!</definedName>
    <definedName name="PODHLEDY_20_M">#REF!</definedName>
    <definedName name="PODHLEDY_20_P">#REF!</definedName>
    <definedName name="PODHLEDY_21">#REF!</definedName>
    <definedName name="PODHLEDY_21_A">#REF!</definedName>
    <definedName name="PODHLEDY_21_B">#REF!</definedName>
    <definedName name="PODHLEDY_21_C">#REF!</definedName>
    <definedName name="PODHLEDY_21_D">#REF!</definedName>
    <definedName name="PODHLEDY_21_E">#REF!</definedName>
    <definedName name="PODHLEDY_21_M">#REF!</definedName>
    <definedName name="PODHLEDY_21_P">#REF!</definedName>
    <definedName name="PODHLEDY_22">#REF!</definedName>
    <definedName name="PODHLEDY_22_A">#REF!</definedName>
    <definedName name="PODHLEDY_22_B">#REF!</definedName>
    <definedName name="PODHLEDY_22_C">#REF!</definedName>
    <definedName name="PODHLEDY_22_D">#REF!</definedName>
    <definedName name="PODHLEDY_22_E">#REF!</definedName>
    <definedName name="PODHLEDY_22_M">#REF!</definedName>
    <definedName name="PODHLEDY_22_P">#REF!</definedName>
    <definedName name="PODHLEDY_23">#REF!</definedName>
    <definedName name="PODHLEDY_23_A">#REF!</definedName>
    <definedName name="PODHLEDY_23_B">#REF!</definedName>
    <definedName name="PODHLEDY_23_C">#REF!</definedName>
    <definedName name="PODHLEDY_23_D">#REF!</definedName>
    <definedName name="PODHLEDY_23_E">#REF!</definedName>
    <definedName name="PODHLEDY_23_M">#REF!</definedName>
    <definedName name="PODHLEDY_23_P">#REF!</definedName>
    <definedName name="PODHLEDY_24">#REF!</definedName>
    <definedName name="PODHLEDY_24_A">#REF!</definedName>
    <definedName name="PODHLEDY_24_B">#REF!</definedName>
    <definedName name="PODHLEDY_24_C">#REF!</definedName>
    <definedName name="PODHLEDY_24_D">#REF!</definedName>
    <definedName name="PODHLEDY_24_E">#REF!</definedName>
    <definedName name="PODHLEDY_24_M">#REF!</definedName>
    <definedName name="PODHLEDY_24_P">#REF!</definedName>
    <definedName name="PODHLEDY_25">#REF!</definedName>
    <definedName name="PODHLEDY_25_A">#REF!</definedName>
    <definedName name="PODHLEDY_25_B">#REF!</definedName>
    <definedName name="PODHLEDY_25_C">#REF!</definedName>
    <definedName name="PODHLEDY_25_D">#REF!</definedName>
    <definedName name="PODHLEDY_25_E">#REF!</definedName>
    <definedName name="PODHLEDY_25_M">#REF!</definedName>
    <definedName name="PODHLEDY_25_P">#REF!</definedName>
    <definedName name="PODHLEDY_26">#REF!</definedName>
    <definedName name="PODHLEDY_26_A">#REF!</definedName>
    <definedName name="PODHLEDY_26_B">#REF!</definedName>
    <definedName name="PODHLEDY_26_C">#REF!</definedName>
    <definedName name="PODHLEDY_26_D">#REF!</definedName>
    <definedName name="PODHLEDY_26_E">#REF!</definedName>
    <definedName name="PODHLEDY_26_M">#REF!</definedName>
    <definedName name="PODHLEDY_26_P">#REF!</definedName>
    <definedName name="PODHLEDY_3">#REF!</definedName>
    <definedName name="PODHLEDY_3_A">#REF!</definedName>
    <definedName name="PODHLEDY_3_B">#REF!</definedName>
    <definedName name="PODHLEDY_3_C">#REF!</definedName>
    <definedName name="PODHLEDY_3_D">#REF!</definedName>
    <definedName name="PODHLEDY_3_E">#REF!</definedName>
    <definedName name="PODHLEDY_3_M">#REF!</definedName>
    <definedName name="PODHLEDY_3_P">#REF!</definedName>
    <definedName name="PODHLEDY_4">#REF!</definedName>
    <definedName name="PODHLEDY_4_A">#REF!</definedName>
    <definedName name="PODHLEDY_4_B">#REF!</definedName>
    <definedName name="PODHLEDY_4_C">#REF!</definedName>
    <definedName name="PODHLEDY_4_D">#REF!</definedName>
    <definedName name="PODHLEDY_4_E">#REF!</definedName>
    <definedName name="PODHLEDY_4_M">#REF!</definedName>
    <definedName name="PODHLEDY_4_P">#REF!</definedName>
    <definedName name="PODHLEDY_5">#REF!</definedName>
    <definedName name="PODHLEDY_5_A">#REF!</definedName>
    <definedName name="PODHLEDY_5_B">#REF!</definedName>
    <definedName name="PODHLEDY_5_C">#REF!</definedName>
    <definedName name="PODHLEDY_5_D">#REF!</definedName>
    <definedName name="PODHLEDY_5_E">#REF!</definedName>
    <definedName name="PODHLEDY_5_M">#REF!</definedName>
    <definedName name="PODHLEDY_5_P">#REF!</definedName>
    <definedName name="PODHLEDY_6">#REF!</definedName>
    <definedName name="PODHLEDY_6_A">#REF!</definedName>
    <definedName name="PODHLEDY_6_B">#REF!</definedName>
    <definedName name="PODHLEDY_6_C">#REF!</definedName>
    <definedName name="PODHLEDY_6_D">#REF!</definedName>
    <definedName name="PODHLEDY_6_E">#REF!</definedName>
    <definedName name="PODHLEDY_6_M">#REF!</definedName>
    <definedName name="PODHLEDY_6_P">#REF!</definedName>
    <definedName name="PODHLEDY_7">#REF!</definedName>
    <definedName name="PODHLEDY_7_A">#REF!</definedName>
    <definedName name="PODHLEDY_7_B">#REF!</definedName>
    <definedName name="PODHLEDY_7_C">#REF!</definedName>
    <definedName name="PODHLEDY_7_D">#REF!</definedName>
    <definedName name="PODHLEDY_7_E">#REF!</definedName>
    <definedName name="PODHLEDY_7_M">#REF!</definedName>
    <definedName name="PODHLEDY_7_P">#REF!</definedName>
    <definedName name="PODHLEDY_8">#REF!</definedName>
    <definedName name="PODHLEDY_8_A">#REF!</definedName>
    <definedName name="PODHLEDY_8_B">#REF!</definedName>
    <definedName name="PODHLEDY_8_C">#REF!</definedName>
    <definedName name="PODHLEDY_8_D">#REF!</definedName>
    <definedName name="PODHLEDY_8_E">#REF!</definedName>
    <definedName name="PODHLEDY_8_M">#REF!</definedName>
    <definedName name="PODHLEDY_8_P">#REF!</definedName>
    <definedName name="PODHLEDY_9">#REF!</definedName>
    <definedName name="PODHLEDY_9_A">#REF!</definedName>
    <definedName name="PODHLEDY_9_B">#REF!</definedName>
    <definedName name="PODHLEDY_9_C">#REF!</definedName>
    <definedName name="PODHLEDY_9_D">#REF!</definedName>
    <definedName name="PODHLEDY_9_E">#REF!</definedName>
    <definedName name="PODHLEDY_9_M">#REF!</definedName>
    <definedName name="PODHLEDY_9_P">#REF!</definedName>
    <definedName name="PODKR_1">#REF!</definedName>
    <definedName name="PODKR_1_A">#REF!</definedName>
    <definedName name="PODKR_1_B">#REF!</definedName>
    <definedName name="PODKR_1_C">#REF!</definedName>
    <definedName name="PODKR_1_D">#REF!</definedName>
    <definedName name="PODKR_1_E">#REF!</definedName>
    <definedName name="PODKR_1_M">#REF!</definedName>
    <definedName name="PODKR_1_P">#REF!</definedName>
    <definedName name="PODKR_10">#REF!</definedName>
    <definedName name="PODKR_10_A">#REF!</definedName>
    <definedName name="PODKR_10_B">#REF!</definedName>
    <definedName name="PODKR_10_C">#REF!</definedName>
    <definedName name="PODKR_10_D">#REF!</definedName>
    <definedName name="PODKR_10_E">#REF!</definedName>
    <definedName name="PODKR_10_M">#REF!</definedName>
    <definedName name="PODKR_10_P">#REF!</definedName>
    <definedName name="PODKR_2">#REF!</definedName>
    <definedName name="PODKR_2_A">#REF!</definedName>
    <definedName name="PODKR_2_B">#REF!</definedName>
    <definedName name="PODKR_2_C">#REF!</definedName>
    <definedName name="PODKR_2_D">#REF!</definedName>
    <definedName name="PODKR_2_E">#REF!</definedName>
    <definedName name="PODKR_2_M">#REF!</definedName>
    <definedName name="PODKR_2_P">#REF!</definedName>
    <definedName name="PODKR_3">#REF!</definedName>
    <definedName name="PODKR_3_A">#REF!</definedName>
    <definedName name="PODKR_3_B">#REF!</definedName>
    <definedName name="PODKR_3_C">#REF!</definedName>
    <definedName name="PODKR_3_D">#REF!</definedName>
    <definedName name="PODKR_3_E">#REF!</definedName>
    <definedName name="PODKR_3_M">#REF!</definedName>
    <definedName name="PODKR_3_P">#REF!</definedName>
    <definedName name="PODKR_4">#REF!</definedName>
    <definedName name="PODKR_4_A">#REF!</definedName>
    <definedName name="PODKR_4_B">#REF!</definedName>
    <definedName name="PODKR_4_C">#REF!</definedName>
    <definedName name="PODKR_4_D">#REF!</definedName>
    <definedName name="PODKR_4_E">#REF!</definedName>
    <definedName name="PODKR_4_M">#REF!</definedName>
    <definedName name="PODKR_4_P">#REF!</definedName>
    <definedName name="PODKR_5">#REF!</definedName>
    <definedName name="PODKR_5_A">#REF!</definedName>
    <definedName name="PODKR_5_B">#REF!</definedName>
    <definedName name="PODKR_5_C">#REF!</definedName>
    <definedName name="PODKR_5_D">#REF!</definedName>
    <definedName name="PODKR_5_E">#REF!</definedName>
    <definedName name="PODKR_5_M">#REF!</definedName>
    <definedName name="PODKR_5_P">#REF!</definedName>
    <definedName name="PODKR_6">#REF!</definedName>
    <definedName name="PODKR_6_A">#REF!</definedName>
    <definedName name="PODKR_6_B">#REF!</definedName>
    <definedName name="PODKR_6_C">#REF!</definedName>
    <definedName name="PODKR_6_D">#REF!</definedName>
    <definedName name="PODKR_6_E">#REF!</definedName>
    <definedName name="PODKR_6_M">#REF!</definedName>
    <definedName name="PODKR_6_P">#REF!</definedName>
    <definedName name="PODKR_7">#REF!</definedName>
    <definedName name="PODKR_7_A">#REF!</definedName>
    <definedName name="PODKR_7_B">#REF!</definedName>
    <definedName name="PODKR_7_C">#REF!</definedName>
    <definedName name="PODKR_7_D">#REF!</definedName>
    <definedName name="PODKR_7_E">#REF!</definedName>
    <definedName name="PODKR_7_M">#REF!</definedName>
    <definedName name="PODKR_7_P">#REF!</definedName>
    <definedName name="PODKR_8">#REF!</definedName>
    <definedName name="PODKR_8_A">#REF!</definedName>
    <definedName name="PODKR_8_B">#REF!</definedName>
    <definedName name="PODKR_8_C">#REF!</definedName>
    <definedName name="PODKR_8_D">#REF!</definedName>
    <definedName name="PODKR_8_E">#REF!</definedName>
    <definedName name="PODKR_8_M">#REF!</definedName>
    <definedName name="PODKR_8_P">#REF!</definedName>
    <definedName name="PODKR_9">#REF!</definedName>
    <definedName name="PODKR_9_A">#REF!</definedName>
    <definedName name="PODKR_9_B">#REF!</definedName>
    <definedName name="PODKR_9_C">#REF!</definedName>
    <definedName name="PODKR_9_D">#REF!</definedName>
    <definedName name="PODKR_9_E">#REF!</definedName>
    <definedName name="PODKR_9_M">#REF!</definedName>
    <definedName name="PODKR_9_P">#REF!</definedName>
    <definedName name="PODLAHY_1">#REF!</definedName>
    <definedName name="PODLAHY_1_A">#REF!</definedName>
    <definedName name="PODLAHY_1_B">#REF!</definedName>
    <definedName name="PODLAHY_1_C">#REF!</definedName>
    <definedName name="PODLAHY_1_D">#REF!</definedName>
    <definedName name="PODLAHY_1_E">#REF!</definedName>
    <definedName name="PODLAHY_1_M">#REF!</definedName>
    <definedName name="PODLAHY_1_P">#REF!</definedName>
    <definedName name="PODLAHY_2">#REF!</definedName>
    <definedName name="PODLAHY_2_A">#REF!</definedName>
    <definedName name="PODLAHY_2_B">#REF!</definedName>
    <definedName name="PODLAHY_2_C">#REF!</definedName>
    <definedName name="PODLAHY_2_D">#REF!</definedName>
    <definedName name="PODLAHY_2_E">#REF!</definedName>
    <definedName name="PODLAHY_2_M">#REF!</definedName>
    <definedName name="PODLAHY_2_P">#REF!</definedName>
    <definedName name="PODLAHY_3">#REF!</definedName>
    <definedName name="PODLAHY_3_A">#REF!</definedName>
    <definedName name="PODLAHY_3_B">#REF!</definedName>
    <definedName name="PODLAHY_3_C">#REF!</definedName>
    <definedName name="PODLAHY_3_D">#REF!</definedName>
    <definedName name="PODLAHY_3_E">#REF!</definedName>
    <definedName name="PODLAHY_3_M">#REF!</definedName>
    <definedName name="PODLAHY_3_P">#REF!</definedName>
    <definedName name="PODLAHY_4">#REF!</definedName>
    <definedName name="PODLAHY_4_A">#REF!</definedName>
    <definedName name="PODLAHY_4_B">#REF!</definedName>
    <definedName name="PODLAHY_4_C">#REF!</definedName>
    <definedName name="PODLAHY_4_D">#REF!</definedName>
    <definedName name="PODLAHY_4_E">#REF!</definedName>
    <definedName name="PODLAHY_4_M">#REF!</definedName>
    <definedName name="PODLAHY_4_P">#REF!</definedName>
    <definedName name="PODLAHY_5">#REF!</definedName>
    <definedName name="PODLAHY_5_A">#REF!</definedName>
    <definedName name="PODLAHY_5_B">#REF!</definedName>
    <definedName name="PODLAHY_5_C">#REF!</definedName>
    <definedName name="PODLAHY_5_D">#REF!</definedName>
    <definedName name="PODLAHY_5_E">#REF!</definedName>
    <definedName name="PODLAHY_5_M">#REF!</definedName>
    <definedName name="PODLAHY_5_P">#REF!</definedName>
    <definedName name="PODLAHY_6">#REF!</definedName>
    <definedName name="PODLAHY_6_A">#REF!</definedName>
    <definedName name="PODLAHY_6_B">#REF!</definedName>
    <definedName name="PODLAHY_6_C">#REF!</definedName>
    <definedName name="PODLAHY_6_D">#REF!</definedName>
    <definedName name="PODLAHY_6_E">#REF!</definedName>
    <definedName name="PODLAHY_6_M">#REF!</definedName>
    <definedName name="PODLAHY_6_P">#REF!</definedName>
    <definedName name="podpoložky">'[30]Rekap.  SO 02'!$A$9:$E$20,'[30]Rekap.  SO 02'!$A$22:$E$23,'[30]Rekap.  SO 02'!$A$30:$E$31,'[30]Rekap.  SO 02'!$A$34:$E$35,'[30]Rekap.  SO 02'!$A$37:$E$39,'[30]Rekap.  SO 02'!$A$41:$E$42</definedName>
    <definedName name="podw">#REF!</definedName>
    <definedName name="poiui">#REF!</definedName>
    <definedName name="pokus" localSheetId="11">#REF!,#REF!</definedName>
    <definedName name="pokus" localSheetId="12">#REF!,#REF!</definedName>
    <definedName name="pokus">#REF!,#REF!</definedName>
    <definedName name="pokusAAAA" localSheetId="11">#REF!</definedName>
    <definedName name="pokusAAAA" localSheetId="12">#REF!</definedName>
    <definedName name="pokusAAAA">#REF!</definedName>
    <definedName name="pokusadres">#REF!</definedName>
    <definedName name="položka_A1" localSheetId="11">#REF!</definedName>
    <definedName name="položka_A1" localSheetId="12">#REF!</definedName>
    <definedName name="položka_A1">#REF!</definedName>
    <definedName name="pom_výp_zač">#REF!</definedName>
    <definedName name="pom_výpočty">#REF!</definedName>
    <definedName name="Popis">#REF!</definedName>
    <definedName name="Popisky1">#REF!</definedName>
    <definedName name="Popisky2">#REF!</definedName>
    <definedName name="poslední">#REF!</definedName>
    <definedName name="POSUVNYZAVESCDCTYRBODOVY" localSheetId="11">#REF!</definedName>
    <definedName name="POSUVNYZAVESCDCTYRBODOVY" localSheetId="12">#REF!</definedName>
    <definedName name="POSUVNYZAVESCDCTYRBODOVY">#REF!</definedName>
    <definedName name="POSUVNYZAVESCDCTYRBODOVY_A" localSheetId="11">#REF!</definedName>
    <definedName name="POSUVNYZAVESCDCTYRBODOVY_A" localSheetId="12">#REF!</definedName>
    <definedName name="POSUVNYZAVESCDCTYRBODOVY_A">#REF!</definedName>
    <definedName name="POSUVNYZAVESCDCTYRBODOVY_B" localSheetId="11">#REF!</definedName>
    <definedName name="POSUVNYZAVESCDCTYRBODOVY_B" localSheetId="12">#REF!</definedName>
    <definedName name="POSUVNYZAVESCDCTYRBODOVY_B">#REF!</definedName>
    <definedName name="POSUVNYZAVESCDCTYRBODOVY_C">#REF!</definedName>
    <definedName name="POSUVNYZAVESCDCTYRBODOVY_D">#REF!</definedName>
    <definedName name="POSUVNYZAVESCDCTYRBODOVY_E">#REF!</definedName>
    <definedName name="POSUVNYZAVESCDPLOCHY_A">#REF!</definedName>
    <definedName name="POSUVNYZAVESCDPLOCHY_B">#REF!</definedName>
    <definedName name="POSUVNYZAVESCDPLOCHY_C">#REF!</definedName>
    <definedName name="POSUVNYZAVESCDPLOCHY_D">#REF!</definedName>
    <definedName name="POSUVNYZAVESCDPLOCHY_E">#REF!</definedName>
    <definedName name="Poznamka">#REF!</definedName>
    <definedName name="pp">#REF!</definedName>
    <definedName name="ppppp">#REF!</definedName>
    <definedName name="PREDS_1">#REF!</definedName>
    <definedName name="PREDS_1_A">#REF!</definedName>
    <definedName name="PREDS_1_B">#REF!</definedName>
    <definedName name="PREDS_1_C">#REF!</definedName>
    <definedName name="PREDS_1_D">#REF!</definedName>
    <definedName name="PREDS_1_E">#REF!</definedName>
    <definedName name="PREDS_1_M">#REF!</definedName>
    <definedName name="PREDS_1_P">#REF!</definedName>
    <definedName name="PREDS_10">#REF!</definedName>
    <definedName name="PREDS_10_A">#REF!</definedName>
    <definedName name="PREDS_10_B">#REF!</definedName>
    <definedName name="PREDS_10_C">#REF!</definedName>
    <definedName name="PREDS_10_D">#REF!</definedName>
    <definedName name="PREDS_10_E">#REF!</definedName>
    <definedName name="PREDS_10_M">#REF!</definedName>
    <definedName name="PREDS_10_P">#REF!</definedName>
    <definedName name="PREDS_11">#REF!</definedName>
    <definedName name="PREDS_11_A">#REF!</definedName>
    <definedName name="PREDS_11_B">#REF!</definedName>
    <definedName name="PREDS_11_C">#REF!</definedName>
    <definedName name="PREDS_11_D">#REF!</definedName>
    <definedName name="PREDS_11_E">#REF!</definedName>
    <definedName name="PREDS_11_M">#REF!</definedName>
    <definedName name="PREDS_11_P">#REF!</definedName>
    <definedName name="PREDS_12">#REF!</definedName>
    <definedName name="PREDS_12_A">#REF!</definedName>
    <definedName name="PREDS_12_B">#REF!</definedName>
    <definedName name="PREDS_12_C">#REF!</definedName>
    <definedName name="PREDS_12_D">#REF!</definedName>
    <definedName name="PREDS_12_E">#REF!</definedName>
    <definedName name="PREDS_12_M">#REF!</definedName>
    <definedName name="PREDS_12_P">#REF!</definedName>
    <definedName name="PREDS_13">#REF!</definedName>
    <definedName name="PREDS_13_A">#REF!</definedName>
    <definedName name="PREDS_13_B">#REF!</definedName>
    <definedName name="PREDS_13_C">#REF!</definedName>
    <definedName name="PREDS_13_D">#REF!</definedName>
    <definedName name="PREDS_13_E">#REF!</definedName>
    <definedName name="PREDS_13_M">#REF!</definedName>
    <definedName name="PREDS_13_P">#REF!</definedName>
    <definedName name="PREDS_14">#REF!</definedName>
    <definedName name="PREDS_14_A">#REF!</definedName>
    <definedName name="PREDS_14_B">#REF!</definedName>
    <definedName name="PREDS_14_C">#REF!</definedName>
    <definedName name="PREDS_14_D">#REF!</definedName>
    <definedName name="PREDS_14_E">#REF!</definedName>
    <definedName name="PREDS_14_M">#REF!</definedName>
    <definedName name="PREDS_14_P">#REF!</definedName>
    <definedName name="PREDS_15">#REF!</definedName>
    <definedName name="PREDS_15_A">#REF!</definedName>
    <definedName name="PREDS_15_B">#REF!</definedName>
    <definedName name="PREDS_15_C">#REF!</definedName>
    <definedName name="PREDS_15_D">#REF!</definedName>
    <definedName name="PREDS_15_E">#REF!</definedName>
    <definedName name="PREDS_15_M">#REF!</definedName>
    <definedName name="PREDS_15_P">#REF!</definedName>
    <definedName name="PREDS_16">#REF!</definedName>
    <definedName name="PREDS_16_A">#REF!</definedName>
    <definedName name="PREDS_16_B">#REF!</definedName>
    <definedName name="PREDS_16_C">#REF!</definedName>
    <definedName name="PREDS_16_D">#REF!</definedName>
    <definedName name="PREDS_16_E">#REF!</definedName>
    <definedName name="PREDS_16_M">#REF!</definedName>
    <definedName name="PREDS_16_P">#REF!</definedName>
    <definedName name="PREDS_17">#REF!</definedName>
    <definedName name="PREDS_17_A">#REF!</definedName>
    <definedName name="PREDS_17_B">#REF!</definedName>
    <definedName name="PREDS_17_C">#REF!</definedName>
    <definedName name="PREDS_17_D">#REF!</definedName>
    <definedName name="PREDS_17_E">#REF!</definedName>
    <definedName name="PREDS_17_M">#REF!</definedName>
    <definedName name="PREDS_17_P">#REF!</definedName>
    <definedName name="PREDS_18">#REF!</definedName>
    <definedName name="PREDS_18_A">#REF!</definedName>
    <definedName name="PREDS_18_B">#REF!</definedName>
    <definedName name="PREDS_18_D">#REF!</definedName>
    <definedName name="PREDS_18_E">#REF!</definedName>
    <definedName name="PREDS_18_M">#REF!</definedName>
    <definedName name="PREDS_18_P">#REF!</definedName>
    <definedName name="PREDS_19">#REF!</definedName>
    <definedName name="PREDS_19_A">#REF!</definedName>
    <definedName name="PREDS_19_B">#REF!</definedName>
    <definedName name="PREDS_19_C">#REF!</definedName>
    <definedName name="PREDS_19_D">#REF!</definedName>
    <definedName name="PREDS_19_E">#REF!</definedName>
    <definedName name="PREDS_19_M">#REF!</definedName>
    <definedName name="PREDS_19_P">#REF!</definedName>
    <definedName name="PREDS_2">#REF!</definedName>
    <definedName name="PREDS_2_A">#REF!</definedName>
    <definedName name="PREDS_2_B">#REF!</definedName>
    <definedName name="PREDS_2_C">#REF!</definedName>
    <definedName name="PREDS_2_D">#REF!</definedName>
    <definedName name="PREDS_2_E">#REF!</definedName>
    <definedName name="PREDS_2_M">#REF!</definedName>
    <definedName name="PREDS_2_P">#REF!</definedName>
    <definedName name="PREDS_3">#REF!</definedName>
    <definedName name="PREDS_3_A">#REF!</definedName>
    <definedName name="PREDS_3_B">#REF!</definedName>
    <definedName name="PREDS_3_C">#REF!</definedName>
    <definedName name="PREDS_3_D">#REF!</definedName>
    <definedName name="PREDS_3_E">#REF!</definedName>
    <definedName name="PREDS_3_M">#REF!</definedName>
    <definedName name="PREDS_3_P">#REF!</definedName>
    <definedName name="PREDS_4">#REF!</definedName>
    <definedName name="PREDS_4_A">#REF!</definedName>
    <definedName name="PREDS_4_B">#REF!</definedName>
    <definedName name="PREDS_4_C">#REF!</definedName>
    <definedName name="PREDS_4_D">#REF!</definedName>
    <definedName name="PREDS_4_E">#REF!</definedName>
    <definedName name="PREDS_4_M">#REF!</definedName>
    <definedName name="PREDS_4_P">#REF!</definedName>
    <definedName name="PREDS_5">#REF!</definedName>
    <definedName name="PREDS_5_A">#REF!</definedName>
    <definedName name="PREDS_5_B">#REF!</definedName>
    <definedName name="PREDS_5_C">#REF!</definedName>
    <definedName name="PREDS_5_D">#REF!</definedName>
    <definedName name="PREDS_5_E">#REF!</definedName>
    <definedName name="PREDS_5_M">#REF!</definedName>
    <definedName name="PREDS_5_P">#REF!</definedName>
    <definedName name="PREDS_6">#REF!</definedName>
    <definedName name="PREDS_6_A">#REF!</definedName>
    <definedName name="PREDS_6_B">#REF!</definedName>
    <definedName name="PREDS_6_C">#REF!</definedName>
    <definedName name="PREDS_6_D">#REF!</definedName>
    <definedName name="PREDS_6_E">#REF!</definedName>
    <definedName name="PREDS_6_M">#REF!</definedName>
    <definedName name="PREDS_6_P">#REF!</definedName>
    <definedName name="PREDS_7">#REF!</definedName>
    <definedName name="PREDS_7_A">#REF!</definedName>
    <definedName name="PREDS_7_B">#REF!</definedName>
    <definedName name="PREDS_7_C">#REF!</definedName>
    <definedName name="PREDS_7_D">#REF!</definedName>
    <definedName name="PREDS_7_E">#REF!</definedName>
    <definedName name="PREDS_7_M">#REF!</definedName>
    <definedName name="PREDS_7_P">#REF!</definedName>
    <definedName name="PREDS_8">#REF!</definedName>
    <definedName name="PREDS_8_A">#REF!</definedName>
    <definedName name="PREDS_8_B">#REF!</definedName>
    <definedName name="PREDS_8_C">#REF!</definedName>
    <definedName name="PREDS_8_D">#REF!</definedName>
    <definedName name="PREDS_8_E">#REF!</definedName>
    <definedName name="PREDS_8_M">#REF!</definedName>
    <definedName name="PREDS_8_P">#REF!</definedName>
    <definedName name="PREDS_9">#REF!</definedName>
    <definedName name="PREDS_9_A">#REF!</definedName>
    <definedName name="PREDS_9_B">#REF!</definedName>
    <definedName name="PREDS_9_C">#REF!</definedName>
    <definedName name="PREDS_9_D">#REF!</definedName>
    <definedName name="PREDS_9_E">#REF!</definedName>
    <definedName name="PREDS_9_M">#REF!</definedName>
    <definedName name="PREDS_9_P">#REF!</definedName>
    <definedName name="PREDSAZ_14">#REF!</definedName>
    <definedName name="prep_rekap">#REF!</definedName>
    <definedName name="prep_schem">#REF!</definedName>
    <definedName name="PRICNYPROFILT151200">#REF!</definedName>
    <definedName name="PRICNYPROFILT151200_A">#REF!</definedName>
    <definedName name="PRICNYPROFILT151200_B">#REF!</definedName>
    <definedName name="PRICNYPROFILT151200_C">#REF!</definedName>
    <definedName name="PRICNYPROFILT151200_D">#REF!</definedName>
    <definedName name="PRICNYPROFILT151200_E">#REF!</definedName>
    <definedName name="PRICNYPROFILT15600">#REF!</definedName>
    <definedName name="PRICNYPROFILT15600_A">#REF!</definedName>
    <definedName name="PRICNYPROFILT15600_B">#REF!</definedName>
    <definedName name="PRICNYPROFILT15600_C">#REF!</definedName>
    <definedName name="PRICNYPROFILT15600_D">#REF!</definedName>
    <definedName name="PRICNYPROFILT15600_E">#REF!</definedName>
    <definedName name="PRICNYPROFILT241200">#REF!</definedName>
    <definedName name="PRICNYPROFILT241200_A">#REF!</definedName>
    <definedName name="PRICNYPROFILT241200_B">#REF!</definedName>
    <definedName name="PRICNYPROFILT241200_C">#REF!</definedName>
    <definedName name="PRICNYPROFILT241200_D">#REF!</definedName>
    <definedName name="PRICNYPROFILT241200_E">#REF!</definedName>
    <definedName name="PRICNYPROFILT24600">#REF!</definedName>
    <definedName name="PRICNYPROFILT24600_A">#REF!</definedName>
    <definedName name="PRICNYPROFILT24600_B">#REF!</definedName>
    <definedName name="PRICNYPROFILT24600_C">#REF!</definedName>
    <definedName name="PRICNYPROFILT24600_D">#REF!</definedName>
    <definedName name="PRICNYPROFILT24600_E">#REF!</definedName>
    <definedName name="PRICHYTKAPENDEX">#REF!</definedName>
    <definedName name="PRICHYTKAPENDEX_A">#REF!</definedName>
    <definedName name="PRICHYTKAPENDEX_B">#REF!</definedName>
    <definedName name="PRICHYTKAPENDEX_C">#REF!</definedName>
    <definedName name="PRICHYTKAPENDEX_D">#REF!</definedName>
    <definedName name="PRICHYTKAPENDEX_E">#REF!</definedName>
    <definedName name="PRICHYTNASVORKA32">#REF!</definedName>
    <definedName name="PRICHYTNASVORKA32_A">#REF!</definedName>
    <definedName name="PRICHYTNASVORKA32_B">#REF!</definedName>
    <definedName name="PRICHYTNASVORKA32_C">#REF!</definedName>
    <definedName name="PRICHYTNASVORKA32_D">#REF!</definedName>
    <definedName name="PRICHYTNASVORKA32_E">#REF!</definedName>
    <definedName name="PRICHYTNASVORKA50">#REF!</definedName>
    <definedName name="PRICHYTNASVORKA50_A">#REF!</definedName>
    <definedName name="PRICHYTNASVORKA50_B">#REF!</definedName>
    <definedName name="PRICHYTNASVORKA50_C">#REF!</definedName>
    <definedName name="PRICHYTNASVORKA50_D">#REF!</definedName>
    <definedName name="PRICHYTNASVORKA50_E">#REF!</definedName>
    <definedName name="PRIMA_DUNAPLUSMICROLOOK">#REF!</definedName>
    <definedName name="PRIMA_PLAIN_MICROLOOK">#REF!</definedName>
    <definedName name="PRIMAADRIA">#REF!</definedName>
    <definedName name="PRIMAADRIA_A">#REF!</definedName>
    <definedName name="PRIMAADRIA_B">#REF!</definedName>
    <definedName name="PRIMAADRIA_C">#REF!</definedName>
    <definedName name="PRIMAADRIA_D">#REF!</definedName>
    <definedName name="PRIMAADRIA_E">#REF!</definedName>
    <definedName name="PRIMAADRIAT">#REF!</definedName>
    <definedName name="PRIMAADRIAT_A">#REF!</definedName>
    <definedName name="PRIMAADRIAT_B">#REF!</definedName>
    <definedName name="PRIMAADRIAT_C">#REF!</definedName>
    <definedName name="PRIMAADRIAT_D">#REF!</definedName>
    <definedName name="PRIMAADRIAT_E">#REF!</definedName>
    <definedName name="PRIMACASA">#REF!</definedName>
    <definedName name="PRIMACASA_">#REF!</definedName>
    <definedName name="PRIMACASA_A">#REF!</definedName>
    <definedName name="PRIMACASA_B">#REF!</definedName>
    <definedName name="PRIMACASA_C">#REF!</definedName>
    <definedName name="PRIMACASA_D">#REF!</definedName>
    <definedName name="PRIMACASA_E">#REF!</definedName>
    <definedName name="PRIMADUNAPLUSMICROLOOK_A">#REF!</definedName>
    <definedName name="PRIMADUNAPLUSMICROLOOK_B">#REF!</definedName>
    <definedName name="PRIMADUNAPLUSMICROLOOK_C">#REF!</definedName>
    <definedName name="PRIMADUNAPLUSMICROLOOK_D">#REF!</definedName>
    <definedName name="PRIMADUNAPLUSMICROLOOK_E">#REF!</definedName>
    <definedName name="PRIMADUNEPLUS">#REF!</definedName>
    <definedName name="PRIMADUNEPLUS_A">#REF!</definedName>
    <definedName name="PRIMADUNEPLUS_B">#REF!</definedName>
    <definedName name="PRIMADUNEPLUS_C">#REF!</definedName>
    <definedName name="PRIMADUNEPLUS_D">#REF!</definedName>
    <definedName name="PRIMADUNEPLUS_E">#REF!</definedName>
    <definedName name="PRIMADUNEPLUST">#REF!</definedName>
    <definedName name="PRIMADUNEPLUST_A">#REF!</definedName>
    <definedName name="PRIMADUNEPLUST_B">#REF!</definedName>
    <definedName name="PRIMADUNEPLUST_C">#REF!</definedName>
    <definedName name="PRIMADUNEPLUST_D">#REF!</definedName>
    <definedName name="PRIMADUNEPLUST_E">#REF!</definedName>
    <definedName name="PRIMAFISSUREDT">#REF!</definedName>
    <definedName name="PRIMAFISSUREDT_A">#REF!</definedName>
    <definedName name="PRIMAFISSUREDT_B">#REF!</definedName>
    <definedName name="PRIMAFISSUREDT_C">#REF!</definedName>
    <definedName name="PRIMAFISSUREDT_D">#REF!</definedName>
    <definedName name="PRIMAFISSUREDT_E">#REF!</definedName>
    <definedName name="PRIMAFISURED">#REF!</definedName>
    <definedName name="PRIMAFISURED_A">#REF!</definedName>
    <definedName name="PRIMAFISURED_B">#REF!</definedName>
    <definedName name="PRIMAFISURED_C">#REF!</definedName>
    <definedName name="PRIMAFISURED_D">#REF!</definedName>
    <definedName name="PRIMAFISURED_E">#REF!</definedName>
    <definedName name="PRIMAPLAIN">#REF!</definedName>
    <definedName name="PRIMAPLAIN_A">#REF!</definedName>
    <definedName name="PRIMAPLAIN_B">#REF!</definedName>
    <definedName name="PRIMAPLAIN_C">#REF!</definedName>
    <definedName name="PRIMAPLAIN_D">#REF!</definedName>
    <definedName name="PRIMAPLAIN_E">#REF!</definedName>
    <definedName name="PRIMAPLAINMICROLOOK_A">#REF!</definedName>
    <definedName name="PRIMAPLAINMICROLOOK_B">#REF!</definedName>
    <definedName name="PRIMAPLAINMICROLOOK_C">#REF!</definedName>
    <definedName name="PRIMAPLAINMICROLOOK_D">#REF!</definedName>
    <definedName name="PRIMAPLAINMICROLOOK_E">#REF!</definedName>
    <definedName name="PRIMYZAVES125">#REF!</definedName>
    <definedName name="PRIMYZAVES125_A">#REF!</definedName>
    <definedName name="PRIMYZAVES125_B">#REF!</definedName>
    <definedName name="PRIMYZAVES125_C">#REF!</definedName>
    <definedName name="PRIMYZAVES125_D">#REF!</definedName>
    <definedName name="PRIMYZAVES125_E">#REF!</definedName>
    <definedName name="PRIMYZAVES60">#REF!</definedName>
    <definedName name="PRIMYZAVES60_A">#REF!</definedName>
    <definedName name="PRIMYZAVES60_B">#REF!</definedName>
    <definedName name="PRIMYZAVES60_C">#REF!</definedName>
    <definedName name="PRIMYZAVES60_D">#REF!</definedName>
    <definedName name="PRIMYZAVES60_E">#REF!</definedName>
    <definedName name="PRIMYZAVESRIGISTIL125">#REF!</definedName>
    <definedName name="PRIMYZAVESRIGISTIL125_A">#REF!</definedName>
    <definedName name="PRIMYZAVESRIGISTIL125_B">#REF!</definedName>
    <definedName name="PRIMYZAVESRIGISTIL125_C">#REF!</definedName>
    <definedName name="PRIMYZAVESRIGISTIL125_D">#REF!</definedName>
    <definedName name="PRIMYZAVESRIGISTIL125_E">#REF!</definedName>
    <definedName name="PRIMYZAVESRIGISTIL75">#REF!</definedName>
    <definedName name="PRIMYZAVESRIGISTIL75_A">#REF!</definedName>
    <definedName name="PRIMYZAVESRIGISTIL75_B">#REF!</definedName>
    <definedName name="PRIMYZAVESRIGISTIL75_C">#REF!</definedName>
    <definedName name="PRIMYZAVESRIGISTIL75_D">#REF!</definedName>
    <definedName name="PRIMYZAVESRIGISTIL75_E">#REF!</definedName>
    <definedName name="PRIPOJUHELNIKUA50">#REF!</definedName>
    <definedName name="PRIPOJUHELNIKUA50_A">#REF!</definedName>
    <definedName name="PRIPOJUHELNIKUA50_B">#REF!</definedName>
    <definedName name="PRIPOJUHELNIKUA50_C">#REF!</definedName>
    <definedName name="PRIPOJUHELNIKUA50_D">#REF!</definedName>
    <definedName name="PRIPOJUHELNIKUA50_E">#REF!</definedName>
    <definedName name="PRIPOJUHELNIKUA75100">#REF!</definedName>
    <definedName name="PRIPOJUHELNIKUA75100_A">#REF!</definedName>
    <definedName name="PRIPOJUHELNIKUA75100_B">#REF!</definedName>
    <definedName name="PRIPOJUHELNIKUA75100_C">#REF!</definedName>
    <definedName name="PRIPOJUHELNIKUA75100_D">#REF!</definedName>
    <definedName name="PRIPOJUHELNIKUA75100_E">#REF!</definedName>
    <definedName name="Procenta">#REF!</definedName>
    <definedName name="PROFILC146S50">#REF!</definedName>
    <definedName name="PROFILC146S50_A">#REF!</definedName>
    <definedName name="PROFILC146S50_B">#REF!</definedName>
    <definedName name="PROFILC146S50_C">#REF!</definedName>
    <definedName name="PROFILC146S50_D">#REF!</definedName>
    <definedName name="PROFILC146S50_E">#REF!</definedName>
    <definedName name="PROFILC95S12">#REF!</definedName>
    <definedName name="PROFILC95S12_A">#REF!</definedName>
    <definedName name="PROFILC95S12_B">#REF!</definedName>
    <definedName name="PROFILC95S12_C">#REF!</definedName>
    <definedName name="PROFILC95S12_D">#REF!</definedName>
    <definedName name="PROFILC95S12_E">#REF!</definedName>
    <definedName name="PROFILSPAROVY13X27">#REF!</definedName>
    <definedName name="PROFILSPAROVY13X27_A">#REF!</definedName>
    <definedName name="PROFILSPAROVY13X27_B">#REF!</definedName>
    <definedName name="PROFILSPAROVY13X27_C">#REF!</definedName>
    <definedName name="PROFILSPAROVY13X27_D">#REF!</definedName>
    <definedName name="PROFILSPAROVY13X27_E">#REF!</definedName>
    <definedName name="PROFILSPAROVY13X27MM">#REF!</definedName>
    <definedName name="PROFINMIX">#REF!</definedName>
    <definedName name="PROFINMIX_A">#REF!</definedName>
    <definedName name="PROFINMIX_B">#REF!</definedName>
    <definedName name="PROFINMIX_C">#REF!</definedName>
    <definedName name="PROFINMIX_D">#REF!</definedName>
    <definedName name="PROFINMIX_E">#REF!</definedName>
    <definedName name="Projektant">#REF!</definedName>
    <definedName name="prva">#REF!</definedName>
    <definedName name="Přehled">#REF!</definedName>
    <definedName name="Přehled_1">0</definedName>
    <definedName name="Přehled_2">#REF!</definedName>
    <definedName name="PřehledCen">#REF!</definedName>
    <definedName name="Přirážka">#REF!</definedName>
    <definedName name="PřirážkaLippok">#REF!</definedName>
    <definedName name="PSV">'[18]Rekapitulace'!$F$9</definedName>
    <definedName name="PSV0">#REF!</definedName>
    <definedName name="PT">#REF!</definedName>
    <definedName name="Q">#REF!</definedName>
    <definedName name="QQ">#REF!</definedName>
    <definedName name="QQQ">#REF!</definedName>
    <definedName name="qqqqqq">#REF!</definedName>
    <definedName name="qwe">#REF!</definedName>
    <definedName name="qwefgerg">#REF!</definedName>
    <definedName name="r_zie_dop">#REF!</definedName>
    <definedName name="r_zie_m">#REF!</definedName>
    <definedName name="r_zie_r">#REF!</definedName>
    <definedName name="Rabat">#REF!</definedName>
    <definedName name="Rabat_skupina">#REF!</definedName>
    <definedName name="Rabatová_skupina">#REF!</definedName>
    <definedName name="RB12.5">#REF!</definedName>
    <definedName name="RB12.5_A">#REF!</definedName>
    <definedName name="RB12.5_B">#REF!</definedName>
    <definedName name="RB12.5_C">#REF!</definedName>
    <definedName name="RB12.5_D">#REF!</definedName>
    <definedName name="RB12.5_E">#REF!</definedName>
    <definedName name="RB15_A">#REF!</definedName>
    <definedName name="RB15_B">#REF!</definedName>
    <definedName name="RB15_C">#REF!</definedName>
    <definedName name="RB15_D">#REF!</definedName>
    <definedName name="RB15_E">#REF!</definedName>
    <definedName name="RB9.5">#REF!</definedName>
    <definedName name="RB9.5_A">#REF!</definedName>
    <definedName name="RB9.5_B">#REF!</definedName>
    <definedName name="RB9.5_C">#REF!</definedName>
    <definedName name="RB9.5_D">#REF!</definedName>
    <definedName name="RB9.5_E">#REF!</definedName>
    <definedName name="RBI12.5">#REF!</definedName>
    <definedName name="RBI12.5_A">#REF!</definedName>
    <definedName name="RBI12.5_B">#REF!</definedName>
    <definedName name="RBI12.5_C">#REF!</definedName>
    <definedName name="RBI12.5_D">#REF!</definedName>
    <definedName name="RBI12.5_E">#REF!</definedName>
    <definedName name="RBI15_A">#REF!</definedName>
    <definedName name="RBI15_B">#REF!</definedName>
    <definedName name="RBI15_C">#REF!</definedName>
    <definedName name="RBI15_D">#REF!</definedName>
    <definedName name="RBI15_E">#REF!</definedName>
    <definedName name="re">#REF!</definedName>
    <definedName name="Reference">#REF!</definedName>
    <definedName name="REKAPITULACE">#REF!</definedName>
    <definedName name="REKAPITULACE_2">#REF!</definedName>
    <definedName name="rergerg">#REF!</definedName>
    <definedName name="ret">#REF!</definedName>
    <definedName name="rez" localSheetId="11">#REF!</definedName>
    <definedName name="rez" localSheetId="12">#REF!</definedName>
    <definedName name="rez">#REF!</definedName>
    <definedName name="RF12.5">#REF!</definedName>
    <definedName name="RF12.5_A">#REF!</definedName>
    <definedName name="RF12.5_B">#REF!</definedName>
    <definedName name="RF12.5_C">#REF!</definedName>
    <definedName name="RF12.5_D">#REF!</definedName>
    <definedName name="RF12.5_E">#REF!</definedName>
    <definedName name="RF15_A">#REF!</definedName>
    <definedName name="RF15_B">#REF!</definedName>
    <definedName name="RF15_C">#REF!</definedName>
    <definedName name="RF15_D">#REF!</definedName>
    <definedName name="RF15_E">#REF!</definedName>
    <definedName name="RF18_A">#REF!</definedName>
    <definedName name="RF18_B">#REF!</definedName>
    <definedName name="RF18_C">#REF!</definedName>
    <definedName name="RF18_D">#REF!</definedName>
    <definedName name="RF18_E">#REF!</definedName>
    <definedName name="RF20_A">#REF!</definedName>
    <definedName name="RF20_B">#REF!</definedName>
    <definedName name="RF20_C">#REF!</definedName>
    <definedName name="RF20_D">#REF!</definedName>
    <definedName name="RF20_E">#REF!</definedName>
    <definedName name="RF25_A">#REF!</definedName>
    <definedName name="RF25_B">#REF!</definedName>
    <definedName name="RF25_C">#REF!</definedName>
    <definedName name="RF25_D">#REF!</definedName>
    <definedName name="RF25_E">#REF!</definedName>
    <definedName name="RFI12.5">#REF!</definedName>
    <definedName name="RFI12.5_A">#REF!</definedName>
    <definedName name="RFI12.5_B">#REF!</definedName>
    <definedName name="RFI12.5_C">#REF!</definedName>
    <definedName name="RFI12.5_D">#REF!</definedName>
    <definedName name="RFI12.5_E">#REF!</definedName>
    <definedName name="RFI15_A">#REF!</definedName>
    <definedName name="RFI15_B">#REF!</definedName>
    <definedName name="RFI15_C">#REF!</definedName>
    <definedName name="RFI15_D">#REF!</definedName>
    <definedName name="RFI15_E">#REF!</definedName>
    <definedName name="rg">#REF!</definedName>
    <definedName name="Rídící_systém">#REF!</definedName>
    <definedName name="RIDURIT15">#REF!</definedName>
    <definedName name="RIDURIT15_A">#REF!</definedName>
    <definedName name="RIDURIT15_B">#REF!</definedName>
    <definedName name="RIDURIT15_C">#REF!</definedName>
    <definedName name="RIDURIT15_D">#REF!</definedName>
    <definedName name="RIDURIT15_E">#REF!</definedName>
    <definedName name="RIDURIT20">#REF!</definedName>
    <definedName name="RIDURIT20_A">#REF!</definedName>
    <definedName name="RIDURIT20_B">#REF!</definedName>
    <definedName name="RIDURIT20_C">#REF!</definedName>
    <definedName name="RIDURIT20_D">#REF!</definedName>
    <definedName name="RIDURIT20_E">#REF!</definedName>
    <definedName name="RIDURIT25">#REF!</definedName>
    <definedName name="RIDURIT25_A">#REF!</definedName>
    <definedName name="RIDURIT25_B">#REF!</definedName>
    <definedName name="RIDURIT25_C">#REF!</definedName>
    <definedName name="RIDURIT25_D">#REF!</definedName>
    <definedName name="RIDURIT25_E">#REF!</definedName>
    <definedName name="RIFLEX10">#REF!</definedName>
    <definedName name="RIFLEX10_A">#REF!</definedName>
    <definedName name="RIFLEX10_B">#REF!</definedName>
    <definedName name="RIFLEX10_C">#REF!</definedName>
    <definedName name="RIFLEX10_D">#REF!</definedName>
    <definedName name="RIFLEX10_E">#REF!</definedName>
    <definedName name="RIFLEX12.5">#REF!</definedName>
    <definedName name="RIFLEX12.5_A">#REF!</definedName>
    <definedName name="RIFLEX12.5_B">#REF!</definedName>
    <definedName name="RIFLEX12.5_C">#REF!</definedName>
    <definedName name="RIFLEX12.5_D">#REF!</definedName>
    <definedName name="RIFLEX12.5_E">#REF!</definedName>
    <definedName name="RIFLEX6">#REF!</definedName>
    <definedName name="RIFLEX6_A">#REF!</definedName>
    <definedName name="RIFLEX6_B">#REF!</definedName>
    <definedName name="RIFLEX6_C">#REF!</definedName>
    <definedName name="RIFLEX6_D">#REF!</definedName>
    <definedName name="RIFLEX6_E">#REF!</definedName>
    <definedName name="RIGIDUR">#REF!</definedName>
    <definedName name="RIGIDUR_A">#REF!</definedName>
    <definedName name="RIGIDUR_B">#REF!</definedName>
    <definedName name="RIGIDUR_C">#REF!</definedName>
    <definedName name="RIGIDUR_D">#REF!</definedName>
    <definedName name="RIGIDUR_E">#REF!</definedName>
    <definedName name="RIGIDUR10MF">#REF!</definedName>
    <definedName name="RIGIDUR10MF_A">#REF!</definedName>
    <definedName name="RIGIDUR10MF_B">#REF!</definedName>
    <definedName name="RIGIDUR10MF_C">#REF!</definedName>
    <definedName name="RIGIDUR10MF_D">#REF!</definedName>
    <definedName name="RIGIDUR10MF_E">#REF!</definedName>
    <definedName name="RIGIDUR10MM">#REF!</definedName>
    <definedName name="RIGIDUR10MM_A">#REF!</definedName>
    <definedName name="RIGIDUR10MM_B">#REF!</definedName>
    <definedName name="RIGIDUR10MM_C">#REF!</definedName>
    <definedName name="RIGIDUR10MM_D">#REF!</definedName>
    <definedName name="RIGIDUR10MM_E">#REF!</definedName>
    <definedName name="RIGIDUR12.5MM">#REF!</definedName>
    <definedName name="RIGIDUR12.5MM_A">#REF!</definedName>
    <definedName name="RIGIDUR12.5MM_B">#REF!</definedName>
    <definedName name="RIGIDUR12.5MM_C">#REF!</definedName>
    <definedName name="RIGIDUR12.5MM_D">#REF!</definedName>
    <definedName name="RIGIDUR12.5MM_E">#REF!</definedName>
    <definedName name="RIGIDUR20PS">#REF!</definedName>
    <definedName name="RIGIDUR20PS_A">#REF!</definedName>
    <definedName name="RIGIDUR20PS_B">#REF!</definedName>
    <definedName name="RIGIDUR20PS_C">#REF!</definedName>
    <definedName name="RIGIDUR20PS_D">#REF!</definedName>
    <definedName name="RIGIDUR20PS_E">#REF!</definedName>
    <definedName name="RIGIDUR30PS">#REF!</definedName>
    <definedName name="RIGIDUR30PS_A">#REF!</definedName>
    <definedName name="RIGIDUR30PS_B">#REF!</definedName>
    <definedName name="RIGIDUR30PS_C">#REF!</definedName>
    <definedName name="RIGIDUR30PS_D">#REF!</definedName>
    <definedName name="RIGIDUR30PS_E">#REF!</definedName>
    <definedName name="RIGIPLAN">#REF!</definedName>
    <definedName name="RIGIPLAN_A">#REF!</definedName>
    <definedName name="RIGIPLAN_B">#REF!</definedName>
    <definedName name="RIGIPLAN_C">#REF!</definedName>
    <definedName name="RIGIPLAN_D">#REF!</definedName>
    <definedName name="RIGIPLAN_E">#REF!</definedName>
    <definedName name="RIGIPLAN10MF">#REF!</definedName>
    <definedName name="RIGIPLAN10MF_A">#REF!</definedName>
    <definedName name="RIGIPLAN10MF_B">#REF!</definedName>
    <definedName name="RIGIPLAN10MF_C">#REF!</definedName>
    <definedName name="RIGIPLAN10MF_D">#REF!</definedName>
    <definedName name="RIGIPLAN10MF_E">#REF!</definedName>
    <definedName name="RIGIPLAN125">#REF!</definedName>
    <definedName name="RIGIPLAN125_A">#REF!</definedName>
    <definedName name="RIGIPLAN125_B">#REF!</definedName>
    <definedName name="RIGIPLAN125_C">#REF!</definedName>
    <definedName name="RIGIPLAN125_D">#REF!</definedName>
    <definedName name="RIGIPLAN125_E">#REF!</definedName>
    <definedName name="RIGIPLAN20PS">#REF!</definedName>
    <definedName name="RIGIPLAN20PS_A">#REF!</definedName>
    <definedName name="RIGIPLAN20PS_B">#REF!</definedName>
    <definedName name="RIGIPLAN20PS_C">#REF!</definedName>
    <definedName name="RIGIPLAN20PS_D">#REF!</definedName>
    <definedName name="RIGIPLAN20PS_E">#REF!</definedName>
    <definedName name="RIGIPLANLEPIDLO_A">#REF!</definedName>
    <definedName name="RIGIPLANLEPIDLO_B">#REF!</definedName>
    <definedName name="RIGIPLANLEPIDLO_C">#REF!</definedName>
    <definedName name="RIGIPLANLEPIDLO_D">#REF!</definedName>
    <definedName name="RIGIPLANLEPIDLO_E">#REF!</definedName>
    <definedName name="RIGIPLANSTERKA">#REF!</definedName>
    <definedName name="RIGIPLANSTERKA_A">#REF!</definedName>
    <definedName name="RIGIPLANSTERKA_B">#REF!</definedName>
    <definedName name="RIGIPLANSTERKA_C">#REF!</definedName>
    <definedName name="RIGIPLANSTERKA_D">#REF!</definedName>
    <definedName name="RIGIPLANSTERKA_E">#REF!</definedName>
    <definedName name="RIGISTILCD">#REF!</definedName>
    <definedName name="RIGISTILCD_A">#REF!</definedName>
    <definedName name="RIGISTILCD_B">#REF!</definedName>
    <definedName name="RIGISTILCD_C">#REF!</definedName>
    <definedName name="RIGISTILCD_D">#REF!</definedName>
    <definedName name="RIGISTILCD_E">#REF!</definedName>
    <definedName name="RIGISTILUD">#REF!</definedName>
    <definedName name="RIGISTILUD_A">#REF!</definedName>
    <definedName name="RIGISTILUD_B">#REF!</definedName>
    <definedName name="RIGISTILUD_C">#REF!</definedName>
    <definedName name="RIGISTILUD_D">#REF!</definedName>
    <definedName name="RIGISTILUD_E">#REF!</definedName>
    <definedName name="RIGITHERM20NF_A">#REF!</definedName>
    <definedName name="RIGITHERM20NF_B">#REF!</definedName>
    <definedName name="RIGITHERM20NF_C">#REF!</definedName>
    <definedName name="RIGITHERM20NF_D">#REF!</definedName>
    <definedName name="RIGITHERM20NF_E">#REF!</definedName>
    <definedName name="RIGITHERM20PS">#REF!</definedName>
    <definedName name="RIGITHERM20PS_A">#REF!</definedName>
    <definedName name="RIGITHERM20PS_B">#REF!</definedName>
    <definedName name="RIGITHERM20PS_C">#REF!</definedName>
    <definedName name="RIGITHERM20PS_D">#REF!</definedName>
    <definedName name="RIGITHERM20PS_E">#REF!</definedName>
    <definedName name="RIGITHERM30PS">#REF!</definedName>
    <definedName name="RIGITHERM30PS_A">#REF!</definedName>
    <definedName name="RIGITHERM30PS_B">#REF!</definedName>
    <definedName name="RIGITHERM30PS_C">#REF!</definedName>
    <definedName name="RIGITHERM30PS_D">#REF!</definedName>
    <definedName name="RIGITHERM30PS_E">#REF!</definedName>
    <definedName name="RIGITHERM40PS">#REF!</definedName>
    <definedName name="RIGITHERM40PS_A">#REF!</definedName>
    <definedName name="RIGITHERM40PS_B">#REF!</definedName>
    <definedName name="RIGITHERM40PS_C">#REF!</definedName>
    <definedName name="RIGITHERM40PS_D">#REF!</definedName>
    <definedName name="RIGITHERM40PS_E">#REF!</definedName>
    <definedName name="RIGITHERM50PS">#REF!</definedName>
    <definedName name="RIGITHERM50PS_A">#REF!</definedName>
    <definedName name="RIGITHERM50PS_B">#REF!</definedName>
    <definedName name="RIGITHERM50PS_C">#REF!</definedName>
    <definedName name="RIGITHERM50PS_D">#REF!</definedName>
    <definedName name="RIGITHERM50PS_E">#REF!</definedName>
    <definedName name="RIGITHERM60PS">#REF!</definedName>
    <definedName name="RIGITHERM60PS_A">#REF!</definedName>
    <definedName name="RIGITHERM60PS_B">#REF!</definedName>
    <definedName name="RIGITHERM60PS_C">#REF!</definedName>
    <definedName name="RIGITHERM60PS_D">#REF!</definedName>
    <definedName name="RIGITHERM60PS_E">#REF!</definedName>
    <definedName name="RIGITHERM70PS">#REF!</definedName>
    <definedName name="RIGITHERM70PS_A">#REF!</definedName>
    <definedName name="RIGITHERM70PS_B">#REF!</definedName>
    <definedName name="RIGITHERM70PS_C">#REF!</definedName>
    <definedName name="RIGITHERM70PS_D">#REF!</definedName>
    <definedName name="RIGITHERM70PS_E">#REF!</definedName>
    <definedName name="RM">'[22]dodav'!$B:$D</definedName>
    <definedName name="rmn">'[23]dodav'!$B:$D</definedName>
    <definedName name="RMVIMPERK">'[24]mont'!$B:$D</definedName>
    <definedName name="Rok_nabídky" localSheetId="11">#REF!</definedName>
    <definedName name="Rok_nabídky" localSheetId="12">#REF!</definedName>
    <definedName name="Rok_nabídky">#REF!</definedName>
    <definedName name="Rok_nabídky_1">0</definedName>
    <definedName name="Rok_nabídky_2">#REF!</definedName>
    <definedName name="rozp_X" localSheetId="11">#REF!,#REF!,#REF!,#REF!,#REF!,#REF!,#REF!,#REF!,#REF!,#REF!,#REF!,#REF!,#REF!,#REF!,#REF!,#REF!,#REF!,#REF!,#REF!,#REF!</definedName>
    <definedName name="rozp_X" localSheetId="12">#REF!,#REF!,#REF!,#REF!,#REF!,#REF!,#REF!,#REF!,#REF!,#REF!,#REF!,#REF!,#REF!,#REF!,#REF!,#REF!,#REF!,#REF!,#REF!,#REF!</definedName>
    <definedName name="rozp_X">#REF!,#REF!,#REF!,#REF!,#REF!,#REF!,#REF!,#REF!,#REF!,#REF!,#REF!,#REF!,#REF!,#REF!,#REF!,#REF!,#REF!,#REF!,#REF!,#REF!</definedName>
    <definedName name="Rozpočet">#REF!</definedName>
    <definedName name="rozvržení_rozp">#REF!</definedName>
    <definedName name="RV">#REF!</definedName>
    <definedName name="RYCHLOSROUB2123525" localSheetId="11">#REF!</definedName>
    <definedName name="RYCHLOSROUB2123525" localSheetId="12">#REF!</definedName>
    <definedName name="RYCHLOSROUB2123525">#REF!</definedName>
    <definedName name="RYCHLOSROUB2123525_A" localSheetId="11">#REF!</definedName>
    <definedName name="RYCHLOSROUB2123525_A" localSheetId="12">#REF!</definedName>
    <definedName name="RYCHLOSROUB2123525_A">#REF!</definedName>
    <definedName name="RYCHLOSROUB2123525_B" localSheetId="11">#REF!</definedName>
    <definedName name="RYCHLOSROUB2123525_B" localSheetId="12">#REF!</definedName>
    <definedName name="RYCHLOSROUB2123525_B">#REF!</definedName>
    <definedName name="RYCHLOSROUB2123525_C">#REF!</definedName>
    <definedName name="RYCHLOSROUB2123525_D">#REF!</definedName>
    <definedName name="RYCHLOSROUB2123525_E">#REF!</definedName>
    <definedName name="RYCHLOSROUB2123535">#REF!</definedName>
    <definedName name="RYCHLOSROUB2123535_A">#REF!</definedName>
    <definedName name="RYCHLOSROUB2123535_B">#REF!</definedName>
    <definedName name="RYCHLOSROUB2123535_C">#REF!</definedName>
    <definedName name="RYCHLOSROUB2123535_D">#REF!</definedName>
    <definedName name="RYCHLOSROUB2123535_E">#REF!</definedName>
    <definedName name="RYCHLOSROUB2123545">#REF!</definedName>
    <definedName name="RYCHLOSROUB2123545_A">#REF!</definedName>
    <definedName name="RYCHLOSROUB2123545_B">#REF!</definedName>
    <definedName name="RYCHLOSROUB2123545_C">#REF!</definedName>
    <definedName name="RYCHLOSROUB2123545_D">#REF!</definedName>
    <definedName name="RYCHLOSROUB2123545_E">#REF!</definedName>
    <definedName name="RYCHLOSROUB2123555">#REF!</definedName>
    <definedName name="RYCHLOSROUB2123555_A">#REF!</definedName>
    <definedName name="RYCHLOSROUB2123555_B">#REF!</definedName>
    <definedName name="RYCHLOSROUB2123555_C">#REF!</definedName>
    <definedName name="RYCHLOSROUB2123555_D">#REF!</definedName>
    <definedName name="RYCHLOSROUB2123555_E">#REF!</definedName>
    <definedName name="RYCHLOZAVESKAZETOVY">#REF!</definedName>
    <definedName name="RYCHLOZAVESKAZETOVY_A">#REF!</definedName>
    <definedName name="RYCHLOZAVESKAZETOVY_B">#REF!</definedName>
    <definedName name="RYCHLOZAVESKAZETOVY_C">#REF!</definedName>
    <definedName name="RYCHLOZAVESKAZETOVY_D">#REF!</definedName>
    <definedName name="RYCHLOZAVESKAZETOVY_E">#REF!</definedName>
    <definedName name="RYCHLOZAVESPEROVY">#REF!</definedName>
    <definedName name="RYCHLOZAVESPEROVY_A">#REF!</definedName>
    <definedName name="RYCHLOZAVESPEROVY_B">#REF!</definedName>
    <definedName name="RYCHLOZAVESPEROVY_C">#REF!</definedName>
    <definedName name="RYCHLOZAVESPEROVY_D">#REF!</definedName>
    <definedName name="RYCHLOZAVESPEROVY_E">#REF!</definedName>
    <definedName name="RYCHLOZAVESPEROVYCTYRBODOVY">#REF!</definedName>
    <definedName name="RYCHLOZAVESPEROVYCTYRBODOVY_A">#REF!</definedName>
    <definedName name="RYCHLOZAVESPEROVYCTYRBODOVY_B">#REF!</definedName>
    <definedName name="RYCHLOZAVESPEROVYCTYRBODOVY_C">#REF!</definedName>
    <definedName name="RYCHLOZAVESPEROVYCTYRBODOVY_D">#REF!</definedName>
    <definedName name="RYCHLOZAVESPEROVYCTYRBODOVY_E">#REF!</definedName>
    <definedName name="RYCHLOZAVESPEROVYDREVO">#REF!</definedName>
    <definedName name="RYCHLOZAVESPEROVYDREVO_A">#REF!</definedName>
    <definedName name="RYCHLOZAVESPEROVYDREVO_B">#REF!</definedName>
    <definedName name="RYCHLOZAVESPEROVYDREVO_C">#REF!</definedName>
    <definedName name="RYCHLOZAVESPEROVYDREVO_D">#REF!</definedName>
    <definedName name="RYCHLOZAVESPEROVYDREVO_E">#REF!</definedName>
    <definedName name="S">#REF!</definedName>
    <definedName name="Sádrokartonové_konstrukce">#REF!</definedName>
    <definedName name="SAMOLEPICIPASKA" localSheetId="11">#REF!</definedName>
    <definedName name="SAMOLEPICIPASKA" localSheetId="12">#REF!</definedName>
    <definedName name="SAMOLEPICIPASKA">#REF!</definedName>
    <definedName name="SAMOLEPICIPASKA_A" localSheetId="11">#REF!</definedName>
    <definedName name="SAMOLEPICIPASKA_A" localSheetId="12">#REF!</definedName>
    <definedName name="SAMOLEPICIPASKA_A">#REF!</definedName>
    <definedName name="SAMOLEPICIPASKA_B" localSheetId="11">#REF!</definedName>
    <definedName name="SAMOLEPICIPASKA_B" localSheetId="12">#REF!</definedName>
    <definedName name="SAMOLEPICIPASKA_B">#REF!</definedName>
    <definedName name="SAMOLEPICIPASKA_C">#REF!</definedName>
    <definedName name="SAMOLEPICIPASKA_D">#REF!</definedName>
    <definedName name="SAMOLEPICIPASKA_E">#REF!</definedName>
    <definedName name="SazbaDPH1">'[10]Krycí list'!$C$30</definedName>
    <definedName name="SazbaDPH2">'[10]Krycí list'!$C$32</definedName>
    <definedName name="SC">#REF!</definedName>
    <definedName name="SC_12">#REF!</definedName>
    <definedName name="SC_34">#REF!</definedName>
    <definedName name="SC_50">#REF!</definedName>
    <definedName name="sd">#REF!</definedName>
    <definedName name="sdf">#REF!</definedName>
    <definedName name="sfasdfa" localSheetId="11">#REF!</definedName>
    <definedName name="sfasdfa" localSheetId="12">#REF!</definedName>
    <definedName name="sfasdfa">#REF!</definedName>
    <definedName name="SILIKON" localSheetId="11">#REF!</definedName>
    <definedName name="SILIKON" localSheetId="12">#REF!</definedName>
    <definedName name="SILIKON">#REF!</definedName>
    <definedName name="SILIKON_A" localSheetId="11">#REF!</definedName>
    <definedName name="SILIKON_A" localSheetId="12">#REF!</definedName>
    <definedName name="SILIKON_A">#REF!</definedName>
    <definedName name="SILIKON_B">#REF!</definedName>
    <definedName name="SILIKON_C">#REF!</definedName>
    <definedName name="SILIKON_D">#REF!</definedName>
    <definedName name="SILIKON_E">#REF!</definedName>
    <definedName name="SILIKONSANITARNI">#REF!</definedName>
    <definedName name="SILIKONSANITARNI_A">#REF!</definedName>
    <definedName name="SILIKONSANITARNI_B">#REF!</definedName>
    <definedName name="SILIKONSANITARNI_C">#REF!</definedName>
    <definedName name="SILIKONSANITARNI_D">#REF!</definedName>
    <definedName name="SILIKONSANITARNI_E">#REF!</definedName>
    <definedName name="silnoproud">'[4]Budova'!$A$950:$A$1397</definedName>
    <definedName name="SKELNAPASKA" localSheetId="11">#REF!</definedName>
    <definedName name="SKELNAPASKA" localSheetId="12">#REF!</definedName>
    <definedName name="SKELNAPASKA">#REF!</definedName>
    <definedName name="SKELNAPASKA_A" localSheetId="11">#REF!</definedName>
    <definedName name="SKELNAPASKA_A" localSheetId="12">#REF!</definedName>
    <definedName name="SKELNAPASKA_A">#REF!</definedName>
    <definedName name="SKELNAPASKA_B" localSheetId="11">#REF!</definedName>
    <definedName name="SKELNAPASKA_B" localSheetId="12">#REF!</definedName>
    <definedName name="SKELNAPASKA_B">#REF!</definedName>
    <definedName name="SKELNAPASKA_C">#REF!</definedName>
    <definedName name="SKELNAPASKA_D">#REF!</definedName>
    <definedName name="SKELNAPASKA_E">#REF!</definedName>
    <definedName name="Sklad">#REF!</definedName>
    <definedName name="skuska">#N/A</definedName>
    <definedName name="Sl_sk_1">#REF!</definedName>
    <definedName name="Sl_sk_2">#REF!</definedName>
    <definedName name="slaboproud">'[4]Budova'!$A$1696:$A$1918</definedName>
    <definedName name="Sleva">#REF!</definedName>
    <definedName name="SlevaEnbra">#REF!</definedName>
    <definedName name="SlevaLDMGiac">#REF!</definedName>
    <definedName name="SlevaRittal">#REF!</definedName>
    <definedName name="SlevaSCA">#REF!</definedName>
    <definedName name="SlevaSchrackrele">#REF!</definedName>
    <definedName name="SlevaSontex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n">#REF!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O01_06___STAVEBNÍ_OBJEKT">#REF!</definedName>
    <definedName name="SOKLOVALISTAPVC_A" localSheetId="11">#REF!</definedName>
    <definedName name="SOKLOVALISTAPVC_A" localSheetId="12">#REF!</definedName>
    <definedName name="SOKLOVALISTAPVC_A">#REF!</definedName>
    <definedName name="SOKLOVALISTAPVC_B" localSheetId="11">#REF!</definedName>
    <definedName name="SOKLOVALISTAPVC_B" localSheetId="12">#REF!</definedName>
    <definedName name="SOKLOVALISTAPVC_B">#REF!</definedName>
    <definedName name="SOKLOVALISTAPVC_C" localSheetId="11">#REF!</definedName>
    <definedName name="SOKLOVALISTAPVC_C" localSheetId="12">#REF!</definedName>
    <definedName name="SOKLOVALISTAPVC_C">#REF!</definedName>
    <definedName name="SOKLOVALISTAPVC_D">#REF!</definedName>
    <definedName name="SOKLOVALISTAPVC_E">#REF!</definedName>
    <definedName name="Specifikace">#REF!</definedName>
    <definedName name="Specifikace_1">0</definedName>
    <definedName name="Specifikace_2">#REF!</definedName>
    <definedName name="Spodek">#REF!</definedName>
    <definedName name="SPOJKACDRIGISTIL">#REF!</definedName>
    <definedName name="SPOJKACDRIGISTIL_A">#REF!</definedName>
    <definedName name="SPOJKACDRIGISTIL_B">#REF!</definedName>
    <definedName name="SPOJKACDRIGISTIL_C">#REF!</definedName>
    <definedName name="SPOJKACDRIGISTIL_D">#REF!</definedName>
    <definedName name="SPOJKACDRIGISTIL_E">#REF!</definedName>
    <definedName name="SPOJKACDUROVNOVA">#REF!</definedName>
    <definedName name="SPOJKACDUROVNOVA_A">#REF!</definedName>
    <definedName name="SPOJKACDUROVNOVA_B">#REF!</definedName>
    <definedName name="SPOJKACDUROVNOVA_C">#REF!</definedName>
    <definedName name="SPOJKACDUROVNOVA_D">#REF!</definedName>
    <definedName name="SPOJKACDUROVNOVA_E">#REF!</definedName>
    <definedName name="SPOJOVACIKUSCD">#REF!</definedName>
    <definedName name="SPOJOVACIKUSCD_A">#REF!</definedName>
    <definedName name="SPOJOVACIKUSCD_B">#REF!</definedName>
    <definedName name="SPOJOVACIKUSCD_C">#REF!</definedName>
    <definedName name="SPOJOVACIKUSCD_D">#REF!</definedName>
    <definedName name="SPOJOVACIKUSCD_E">#REF!</definedName>
    <definedName name="SROUBKPATKAM">#REF!</definedName>
    <definedName name="SROUBKPATKAM_A">#REF!</definedName>
    <definedName name="SROUBKPATKAM_B">#REF!</definedName>
    <definedName name="SROUBKPATKAM_C">#REF!</definedName>
    <definedName name="SROUBKPATKAM_D">#REF!</definedName>
    <definedName name="SROUBKPATKAM_E">#REF!</definedName>
    <definedName name="SROUBRIDURIT3535">#REF!</definedName>
    <definedName name="SROUBRIDURIT3535_A">#REF!</definedName>
    <definedName name="SROUBRIDURIT3535_B">#REF!</definedName>
    <definedName name="SROUBRIDURIT3535_C">#REF!</definedName>
    <definedName name="SROUBRIDURIT3535_D">#REF!</definedName>
    <definedName name="SROUBRIDURIT3535_E">#REF!</definedName>
    <definedName name="SROUBRIDURIT3545">#REF!</definedName>
    <definedName name="SROUBRIDURIT3545_A">#REF!</definedName>
    <definedName name="SROUBRIDURIT3545_B">#REF!</definedName>
    <definedName name="SROUBRIDURIT3545_C">#REF!</definedName>
    <definedName name="SROUBRIDURIT3545_D">#REF!</definedName>
    <definedName name="SROUBRIDURIT3545_E">#REF!</definedName>
    <definedName name="SROUBRIDURIT3555_A">#REF!</definedName>
    <definedName name="SROUBRIDURIT3555_B">#REF!</definedName>
    <definedName name="SROUBRIDURIT3555_C">#REF!</definedName>
    <definedName name="SROUBRIDURIT3555_D">#REF!</definedName>
    <definedName name="SROUBRIDURIT3555_E">#REF!</definedName>
    <definedName name="SROUBSHROTEM2213525">#REF!</definedName>
    <definedName name="SROUBSHROTEM2213525_A">#REF!</definedName>
    <definedName name="SROUBSHROTEM2213525_B">#REF!</definedName>
    <definedName name="SROUBSHROTEM2213525_C">#REF!</definedName>
    <definedName name="SROUBSHROTEM2213525_D">#REF!</definedName>
    <definedName name="SROUBSHROTEM2213525_E">#REF!</definedName>
    <definedName name="SROUBSHROTEM2213535">#REF!</definedName>
    <definedName name="SROUBSHROTEM2213535_A">#REF!</definedName>
    <definedName name="SROUBSHROTEM2213535_B">#REF!</definedName>
    <definedName name="SROUBSHROTEM2213535_C">#REF!</definedName>
    <definedName name="SROUBSHROTEM2213535_D">#REF!</definedName>
    <definedName name="SROUBSHROTEM2213535_E">#REF!</definedName>
    <definedName name="SROUBSHROTEM2213545">#REF!</definedName>
    <definedName name="SROUBSHROTEM2213545_A">#REF!</definedName>
    <definedName name="SROUBSHROTEM2213545_B">#REF!</definedName>
    <definedName name="SROUBSHROTEM2213545_C">#REF!</definedName>
    <definedName name="SROUBSHROTEM2213545_D">#REF!</definedName>
    <definedName name="SROUBSHROTEM2213545_E">#REF!</definedName>
    <definedName name="SROUBSHROTEM2213560">#REF!</definedName>
    <definedName name="SROUBSHROTEM2213560_A">#REF!</definedName>
    <definedName name="SROUBSHROTEM2213560_B">#REF!</definedName>
    <definedName name="SROUBSHROTEM2213560_C">#REF!</definedName>
    <definedName name="SROUBSHROTEM2213560_D">#REF!</definedName>
    <definedName name="SROUBSHROTEM2213560_E">#REF!</definedName>
    <definedName name="SROUBSHROTEM2213570_A">#REF!</definedName>
    <definedName name="SROUBSHROTEM2213570_B">#REF!</definedName>
    <definedName name="SROUBSHROTEM2213570_C">#REF!</definedName>
    <definedName name="SROUBSHROTEM2213570_D">#REF!</definedName>
    <definedName name="SROUBSHROTEM2213570_E">#REF!</definedName>
    <definedName name="SROUBSPLOCHOUHLAVOU4214">#REF!</definedName>
    <definedName name="SROUBSPLOCHOUHLAVOU4214_A">#REF!</definedName>
    <definedName name="SROUBSPLOCHOUHLAVOU4214_B">#REF!</definedName>
    <definedName name="SROUBSPLOCHOUHLAVOU4214_C">#REF!</definedName>
    <definedName name="SROUBSPLOCHOUHLAVOU4214_D">#REF!</definedName>
    <definedName name="SROUBSPLOCHOUHLAVOU4214_E">#REF!</definedName>
    <definedName name="SROUBTEXY4213595">#REF!</definedName>
    <definedName name="SROUBTEXY4213595_A">#REF!</definedName>
    <definedName name="SROUBTEXY4213595_B">#REF!</definedName>
    <definedName name="SROUBTEXY4213595_C">#REF!</definedName>
    <definedName name="SROUBTEXY4213595_D">#REF!</definedName>
    <definedName name="SROUBTEXY4213595_E">#REF!</definedName>
    <definedName name="SROUBTEXYDLOUHY4213919">#REF!</definedName>
    <definedName name="SROUBTEXYDLOUHY4213919_A">#REF!</definedName>
    <definedName name="SROUBTEXYDLOUHY4213919_B">#REF!</definedName>
    <definedName name="SROUBTEXYDLOUHY4213919_C">#REF!</definedName>
    <definedName name="SROUBTEXYDLOUHY4213919_D">#REF!</definedName>
    <definedName name="SROUBTEXYDLOUHY4213919_E">#REF!</definedName>
    <definedName name="SROUBTEXYSTREDNI4214213">#REF!</definedName>
    <definedName name="SROUBTEXYSTREDNI4214213_A">#REF!</definedName>
    <definedName name="SROUBTEXYSTREDNI4214213_B">#REF!</definedName>
    <definedName name="SROUBTEXYSTREDNI4214213_C">#REF!</definedName>
    <definedName name="SROUBTEXYSTREDNI4214213_D">#REF!</definedName>
    <definedName name="SROUBTEXYSTREDNI4214213_E">#REF!</definedName>
    <definedName name="ssss">#REF!</definedName>
    <definedName name="SSSSS">'[6]01'!$A$8:$A$10,'[6]01'!$A$14:$A$16,'[6]01'!$A$20:$A$22,'[6]01'!$A$26:$A$28,'[6]01'!$A$32:$A$34,'[6]01'!$A$38:$A$40,'[6]01'!$A$44:$A$46,'[6]01'!$A$50:$A$52,'[6]01'!$A$56:$A$58,'[6]01'!$A$62:$A$64,'[6]01'!$A$68:$A$70,'[6]01'!$A$74:$A$76,'[6]01'!$A$80:$A$82,'[6]01'!$A$86:$A$88,'[6]01'!$A$92:$A$94,'[6]01'!$A$98:$A$100,'[6]01'!$A$104:$A$106,'[6]01'!$A$110:$A$112,'[6]01'!$A$116:$A$118,'[6]01'!$A$122:$A$124</definedName>
    <definedName name="ssssss" localSheetId="11">#REF!</definedName>
    <definedName name="ssssss" localSheetId="12">#REF!</definedName>
    <definedName name="ssssss">#REF!</definedName>
    <definedName name="STANDARD" localSheetId="11">#REF!</definedName>
    <definedName name="STANDARD" localSheetId="12">#REF!</definedName>
    <definedName name="STANDARD">#REF!</definedName>
    <definedName name="STANDARD_A">#REF!</definedName>
    <definedName name="STANDARD_B">#REF!</definedName>
    <definedName name="STANDARD_C">#REF!</definedName>
    <definedName name="STANDARD_D">#REF!</definedName>
    <definedName name="STANDARD_E">#REF!</definedName>
    <definedName name="statika">'[4]Budova'!$A$787:$A$825</definedName>
    <definedName name="staveb">'[4]Budova'!$A$10:$A$688</definedName>
    <definedName name="STAVECITRMEN35" localSheetId="11">#REF!</definedName>
    <definedName name="STAVECITRMEN35" localSheetId="12">#REF!</definedName>
    <definedName name="STAVECITRMEN35">#REF!</definedName>
    <definedName name="STAVECITRMEN35_A" localSheetId="11">#REF!</definedName>
    <definedName name="STAVECITRMEN35_A" localSheetId="12">#REF!</definedName>
    <definedName name="STAVECITRMEN35_A">#REF!</definedName>
    <definedName name="STAVECITRMEN35_B" localSheetId="11">#REF!</definedName>
    <definedName name="STAVECITRMEN35_B" localSheetId="12">#REF!</definedName>
    <definedName name="STAVECITRMEN35_B">#REF!</definedName>
    <definedName name="STAVECITRMEN35_C">#REF!</definedName>
    <definedName name="STAVECITRMEN35_D">#REF!</definedName>
    <definedName name="STAVECITRMEN35_E">#REF!</definedName>
    <definedName name="STAVECITRMEN65">#REF!</definedName>
    <definedName name="STAVECITRMEN65_A">#REF!</definedName>
    <definedName name="STAVECITRMEN65_B">#REF!</definedName>
    <definedName name="STAVECITRMEN65_C">#REF!</definedName>
    <definedName name="STAVECITRMEN65_D">#REF!</definedName>
    <definedName name="STAVECITRMEN65_E">#REF!</definedName>
    <definedName name="STAVECITRMEN95">#REF!</definedName>
    <definedName name="STAVECITRMEN95_A">#REF!</definedName>
    <definedName name="STAVECITRMEN95_B">#REF!</definedName>
    <definedName name="STAVECITRMEN95_C">#REF!</definedName>
    <definedName name="STAVECITRMEN95_D">#REF!</definedName>
    <definedName name="STAVECITRMEN95_E">#REF!</definedName>
    <definedName name="STROPNIHREBDN6">#REF!</definedName>
    <definedName name="STROPNIHREBDN6_A">#REF!</definedName>
    <definedName name="STROPNIHREBDN6_B">#REF!</definedName>
    <definedName name="STROPNIHREBDN6_C">#REF!</definedName>
    <definedName name="STROPNIHREBDN6_D">#REF!</definedName>
    <definedName name="STROPNIHREBDN6_E">#REF!</definedName>
    <definedName name="subslevy">#REF!</definedName>
    <definedName name="sum_memrekapdph">#REF!</definedName>
    <definedName name="sum_prekap">#REF!</definedName>
    <definedName name="sumpok" localSheetId="11">#REF!</definedName>
    <definedName name="sumpok" localSheetId="12">#REF!</definedName>
    <definedName name="sumpok">#REF!</definedName>
    <definedName name="SUPER" localSheetId="11">#REF!</definedName>
    <definedName name="SUPER" localSheetId="12">#REF!</definedName>
    <definedName name="SUPER">#REF!</definedName>
    <definedName name="SUPER_A" localSheetId="11">#REF!</definedName>
    <definedName name="SUPER_A" localSheetId="12">#REF!</definedName>
    <definedName name="SUPER_A">#REF!</definedName>
    <definedName name="SUPER_B" localSheetId="11">#REF!</definedName>
    <definedName name="SUPER_B" localSheetId="12">#REF!</definedName>
    <definedName name="SUPER_B">#REF!</definedName>
    <definedName name="SUPER_C">#REF!</definedName>
    <definedName name="SUPER_D">#REF!</definedName>
    <definedName name="SUPER_E">#REF!</definedName>
    <definedName name="SVORKANOSNIKU130210">#REF!</definedName>
    <definedName name="SVORKANOSNIKU130210_A">#REF!</definedName>
    <definedName name="SVORKANOSNIKU130210_B">#REF!</definedName>
    <definedName name="SVORKANOSNIKU130210_C">#REF!</definedName>
    <definedName name="SVORKANOSNIKU130210_D">#REF!</definedName>
    <definedName name="SVORKANOSNIKU130210_E">#REF!</definedName>
    <definedName name="SVORKANOSNIKU5085">#REF!</definedName>
    <definedName name="SVORKANOSNIKU5085_A">#REF!</definedName>
    <definedName name="SVORKANOSNIKU5085_B">#REF!</definedName>
    <definedName name="SVORKANOSNIKU5085_C">#REF!</definedName>
    <definedName name="SVORKANOSNIKU5085_D">#REF!</definedName>
    <definedName name="SVORKANOSNIKU5085_E">#REF!</definedName>
    <definedName name="SVORKANOSNIKU85130">#REF!</definedName>
    <definedName name="SVORKANOSNIKU85130_A">#REF!</definedName>
    <definedName name="SVORKANOSNIKU85130_B">#REF!</definedName>
    <definedName name="SVORKANOSNIKU85130_C">#REF!</definedName>
    <definedName name="SVORKANOSNIKU85130_D">#REF!</definedName>
    <definedName name="SVORKANOSNIKU85130_E">#REF!</definedName>
    <definedName name="SWnákup">#REF!</definedName>
    <definedName name="SWprodej">#REF!</definedName>
    <definedName name="Systém">#REF!</definedName>
    <definedName name="sz_be">#REF!</definedName>
    <definedName name="sz_ma">#REF!</definedName>
    <definedName name="sz_pf">#REF!</definedName>
    <definedName name="sz_sc">#REF!</definedName>
    <definedName name="sz_sch">#REF!</definedName>
    <definedName name="sz_so">#REF!</definedName>
    <definedName name="sz_sp">#REF!</definedName>
    <definedName name="sz_st">#REF!</definedName>
    <definedName name="T">#REF!</definedName>
    <definedName name="T1_12">#REF!</definedName>
    <definedName name="T1_34">#REF!</definedName>
    <definedName name="T1_50">#REF!</definedName>
    <definedName name="TABLE_1">"$xx.$#REF!$#REF!:$#REF!$#REF!"</definedName>
    <definedName name="TABLE_10_1">"$xx.$#REF!$#REF!:$#REF!$#REF!"</definedName>
    <definedName name="TABLE_11_1">"$xx.$#REF!$#REF!:$#REF!$#REF!"</definedName>
    <definedName name="TABLE_12_1">"$xx.$#REF!$#REF!:$#REF!$#REF!"</definedName>
    <definedName name="TABLE_13_1">"$xx.$#REF!$#REF!:$#REF!$#REF!"</definedName>
    <definedName name="TABLE_2_1">"$xx.$#REF!$#REF!:$#REF!$#REF!"</definedName>
    <definedName name="TABLE_3_1">"$xx.$#REF!$#REF!:$#REF!$#REF!"</definedName>
    <definedName name="TABLE_4_1">"$xx.$#REF!$#REF!:$#REF!$#REF!"</definedName>
    <definedName name="TABLE_5_1">"$xx.$#REF!$#REF!:$#REF!$#REF!"</definedName>
    <definedName name="TABLE_6_1">"$xx.$#REF!$#REF!:$#REF!$#REF!"</definedName>
    <definedName name="TABLE_7_1">"$xx.$#REF!$#REF!:$#REF!$#REF!"</definedName>
    <definedName name="TABLE_8_1">"$xx.$#REF!$#REF!:$#REF!$#REF!"</definedName>
    <definedName name="TABLE_9_1">"$xx.$#REF!$#REF!:$#REF!$#REF!"</definedName>
    <definedName name="TAPETA_T1006" localSheetId="11">#REF!</definedName>
    <definedName name="TAPETA_T1006" localSheetId="12">#REF!</definedName>
    <definedName name="TAPETA_T1006">#REF!</definedName>
    <definedName name="TAPETA_T1006_A" localSheetId="11">#REF!</definedName>
    <definedName name="TAPETA_T1006_A" localSheetId="12">#REF!</definedName>
    <definedName name="TAPETA_T1006_A">#REF!</definedName>
    <definedName name="TAPETA_T1006_B" localSheetId="11">#REF!</definedName>
    <definedName name="TAPETA_T1006_B" localSheetId="12">#REF!</definedName>
    <definedName name="TAPETA_T1006_B">#REF!</definedName>
    <definedName name="TAPETA_T1006_C">#REF!</definedName>
    <definedName name="TAPETA_T1006_D">#REF!</definedName>
    <definedName name="TAPETA_T1006_E">#REF!</definedName>
    <definedName name="TECHROCK40MM">#REF!</definedName>
    <definedName name="TECHROCK40MM_A">#REF!</definedName>
    <definedName name="TECHROCK40MM_B">#REF!</definedName>
    <definedName name="TECHROCK40MM_C">#REF!</definedName>
    <definedName name="TECHROCK40MM_D">#REF!</definedName>
    <definedName name="TECHROCK40MM_E">#REF!</definedName>
    <definedName name="TECHROCK50MM">#REF!</definedName>
    <definedName name="TECHROCK50MM_A">#REF!</definedName>
    <definedName name="TECHROCK50MM_B">#REF!</definedName>
    <definedName name="TECHROCK50MM_C">#REF!</definedName>
    <definedName name="TECHROCK50MM_D">#REF!</definedName>
    <definedName name="TECHROCK50MM_E">#REF!</definedName>
    <definedName name="TECHROCK60KG50MM">#REF!</definedName>
    <definedName name="TECHROCK60KG50MM_A">#REF!</definedName>
    <definedName name="TECHROCK60KG50MM_B">#REF!</definedName>
    <definedName name="TECHROCK60KG50MM_C">#REF!</definedName>
    <definedName name="TECHROCK60KG50MM_D">#REF!</definedName>
    <definedName name="TECHROCK60KG50MM_E">#REF!</definedName>
    <definedName name="TESNENIPENOVE30">#REF!</definedName>
    <definedName name="TESNENIPENOVE30_A">#REF!</definedName>
    <definedName name="TESNENIPENOVE30_B">#REF!</definedName>
    <definedName name="TESNENIPENOVE30_C">#REF!</definedName>
    <definedName name="TESNENIPENOVE30_D">#REF!</definedName>
    <definedName name="TESNENIPENOVE30_E">#REF!</definedName>
    <definedName name="TESNENIPENOVE50">#REF!</definedName>
    <definedName name="TESNENIPENOVE50_A">#REF!</definedName>
    <definedName name="TESNENIPENOVE50_B">#REF!</definedName>
    <definedName name="TESNENIPENOVE50_C">#REF!</definedName>
    <definedName name="TESNENIPENOVE50_D">#REF!</definedName>
    <definedName name="TESNENIPENOVE50_E">#REF!</definedName>
    <definedName name="TESNENIPENOVE70">#REF!</definedName>
    <definedName name="TESNENIPENOVE70_A">#REF!</definedName>
    <definedName name="TESNENIPENOVE70_B">#REF!</definedName>
    <definedName name="TESNENIPENOVE70_C">#REF!</definedName>
    <definedName name="TESNENIPENOVE70_D">#REF!</definedName>
    <definedName name="TESNENIPENOVE70_E">#REF!</definedName>
    <definedName name="TESNENIPENOVE95">#REF!</definedName>
    <definedName name="TESNENIPENOVE95_A">#REF!</definedName>
    <definedName name="TESNENIPENOVE95_B">#REF!</definedName>
    <definedName name="TESNENIPENOVE95_C">#REF!</definedName>
    <definedName name="TESNENIPENOVE95_D">#REF!</definedName>
    <definedName name="TESNENIPENOVE95_E">#REF!</definedName>
    <definedName name="THERMATEX_FEINFRESKO_SK">#REF!</definedName>
    <definedName name="THERMATEX_FEINGELOCHT_SK">#REF!</definedName>
    <definedName name="THERMATEX_FENFRESKO_VT">#REF!</definedName>
    <definedName name="THERMATEX_LAGUNA">#REF!</definedName>
    <definedName name="Thermatex_Laguna_SK">#REF!</definedName>
    <definedName name="THERMATEXECOMIN">#REF!</definedName>
    <definedName name="THERMATEXECOMIN_A">#REF!</definedName>
    <definedName name="THERMATEXECOMIN_B">#REF!</definedName>
    <definedName name="THERMATEXECOMIN_C">#REF!</definedName>
    <definedName name="THERMATEXECOMIN_D">#REF!</definedName>
    <definedName name="THERMATEXECOMIN_E">#REF!</definedName>
    <definedName name="TK">#REF!</definedName>
    <definedName name="tłu">#REF!</definedName>
    <definedName name="TMELRIDURIT">#REF!</definedName>
    <definedName name="TMELRIDURIT_A">#REF!</definedName>
    <definedName name="TMELRIDURIT_B">#REF!</definedName>
    <definedName name="TMELRIDURIT_C">#REF!</definedName>
    <definedName name="TMELRIDURIT_D">#REF!</definedName>
    <definedName name="TMELRIDURIT_E">#REF!</definedName>
    <definedName name="top_memrekapdph">#REF!</definedName>
    <definedName name="top_phlavy">#REF!</definedName>
    <definedName name="top_rkap">#REF!</definedName>
    <definedName name="top_rozpocty">#REF!</definedName>
    <definedName name="top_rpolozky">#REF!</definedName>
    <definedName name="TP">#REF!</definedName>
    <definedName name="TRAMERE24">#REF!</definedName>
    <definedName name="TRAMERE24_A">#REF!</definedName>
    <definedName name="TRAMERE24_B">#REF!</definedName>
    <definedName name="TRAMERE24_C">#REF!</definedName>
    <definedName name="TRAMERE24_D">#REF!</definedName>
    <definedName name="TRAMERE24_E">#REF!</definedName>
    <definedName name="trew">#REF!</definedName>
    <definedName name="TRHACINYT">#REF!</definedName>
    <definedName name="TRHACINYT_A">#REF!</definedName>
    <definedName name="TRHACINYT_B">#REF!</definedName>
    <definedName name="TRHACINYT_C">#REF!</definedName>
    <definedName name="TRHACINYT_D">#REF!</definedName>
    <definedName name="TRHACINYT_E">#REF!</definedName>
    <definedName name="TWF14050_A">#REF!</definedName>
    <definedName name="TWF14050_B">#REF!</definedName>
    <definedName name="TWF14050_C">#REF!</definedName>
    <definedName name="TWF14050_D">#REF!</definedName>
    <definedName name="TWF14050_E">#REF!</definedName>
    <definedName name="TWF16075_A">#REF!</definedName>
    <definedName name="TWF16075_B">#REF!</definedName>
    <definedName name="TWF16075_C">#REF!</definedName>
    <definedName name="TWF16075_D">#REF!</definedName>
    <definedName name="TWF16075_E">#REF!</definedName>
    <definedName name="TWF180100_A">#REF!</definedName>
    <definedName name="TWF180100_B">#REF!</definedName>
    <definedName name="TWF180100_C">#REF!</definedName>
    <definedName name="TWF180100_D">#REF!</definedName>
    <definedName name="TWF180100_E">#REF!</definedName>
    <definedName name="TWP1100_A">#REF!</definedName>
    <definedName name="TWP1100_B">#REF!</definedName>
    <definedName name="TWP1100_C">#REF!</definedName>
    <definedName name="TWP1100_D">#REF!</definedName>
    <definedName name="TWP1100_E">#REF!</definedName>
    <definedName name="TWP1120_A">#REF!</definedName>
    <definedName name="TWP1120_B">#REF!</definedName>
    <definedName name="TWP1120_C">#REF!</definedName>
    <definedName name="TWP1120_D">#REF!</definedName>
    <definedName name="TWP1120_E">#REF!</definedName>
    <definedName name="TWP1140_A">#REF!</definedName>
    <definedName name="TWP1140_B">#REF!</definedName>
    <definedName name="TWP1140_C">#REF!</definedName>
    <definedName name="TWP1140_D">#REF!</definedName>
    <definedName name="TWP1140_E">#REF!</definedName>
    <definedName name="TWP140_A">#REF!</definedName>
    <definedName name="TWP140_B">#REF!</definedName>
    <definedName name="TWP140_C">#REF!</definedName>
    <definedName name="TWP140_D">#REF!</definedName>
    <definedName name="TWP140_E">#REF!</definedName>
    <definedName name="TWP150_A">#REF!</definedName>
    <definedName name="TWP150_B">#REF!</definedName>
    <definedName name="TWP150_C">#REF!</definedName>
    <definedName name="TWP150_D">#REF!</definedName>
    <definedName name="TWP150_E">#REF!</definedName>
    <definedName name="TWP160_A">#REF!</definedName>
    <definedName name="TWP160_B">#REF!</definedName>
    <definedName name="TWP160_C">#REF!</definedName>
    <definedName name="TWP160_D">#REF!</definedName>
    <definedName name="TWP160_E">#REF!</definedName>
    <definedName name="TWP180_A">#REF!</definedName>
    <definedName name="TWP180_B">#REF!</definedName>
    <definedName name="TWP180_C">#REF!</definedName>
    <definedName name="TWP180_D">#REF!</definedName>
    <definedName name="TWP180_E">#REF!</definedName>
    <definedName name="Typ" localSheetId="11">'[12]MaR'!$C$151:$C$161,'[12]MaR'!$C$44:$C$143</definedName>
    <definedName name="Typ" localSheetId="12">'[12]MaR'!$C$151:$C$161,'[12]MaR'!$C$44:$C$143</definedName>
    <definedName name="Typ">#REF!</definedName>
    <definedName name="Typ_2">('[14]MaR'!$C$151:$C$161,'[14]MaR'!$C$44:$C$143)</definedName>
    <definedName name="u">#REF!</definedName>
    <definedName name="UA100_A" localSheetId="11">#REF!</definedName>
    <definedName name="UA100_A" localSheetId="12">#REF!</definedName>
    <definedName name="UA100_A">#REF!</definedName>
    <definedName name="UA100_B" localSheetId="11">#REF!</definedName>
    <definedName name="UA100_B" localSheetId="12">#REF!</definedName>
    <definedName name="UA100_B">#REF!</definedName>
    <definedName name="UA100_C" localSheetId="11">#REF!</definedName>
    <definedName name="UA100_C" localSheetId="12">#REF!</definedName>
    <definedName name="UA100_C">#REF!</definedName>
    <definedName name="UA100_D">#REF!</definedName>
    <definedName name="UA100_E">#REF!</definedName>
    <definedName name="UA50_A">#REF!</definedName>
    <definedName name="UA50_B">#REF!</definedName>
    <definedName name="UA50_C">#REF!</definedName>
    <definedName name="UA50_D">#REF!</definedName>
    <definedName name="UA50_E">#REF!</definedName>
    <definedName name="UA75_A">#REF!</definedName>
    <definedName name="UA75_B">#REF!</definedName>
    <definedName name="UA75_C">#REF!</definedName>
    <definedName name="UA75_D">#REF!</definedName>
    <definedName name="UA75_E">#REF!</definedName>
    <definedName name="UD28_A">#REF!</definedName>
    <definedName name="UD28_B">#REF!</definedName>
    <definedName name="UD28_C">#REF!</definedName>
    <definedName name="UD28_D">#REF!</definedName>
    <definedName name="UD28_E">#REF!</definedName>
    <definedName name="UD30_A">#REF!</definedName>
    <definedName name="UD30_B">#REF!</definedName>
    <definedName name="UD30_C">#REF!</definedName>
    <definedName name="UD30_D">#REF!</definedName>
    <definedName name="UD30_E">#REF!</definedName>
    <definedName name="UHELNIKSUVNYUA100_A">#REF!</definedName>
    <definedName name="UHELNIKSUVNYUA100_B">#REF!</definedName>
    <definedName name="UHELNIKSUVNYUA100_C">#REF!</definedName>
    <definedName name="UHELNIKSUVNYUA100_D">#REF!</definedName>
    <definedName name="UHELNIKSUVNYUA100_E">#REF!</definedName>
    <definedName name="UHELNIKSUVNYUA50_A">#REF!</definedName>
    <definedName name="UHELNIKSUVNYUA50_B">#REF!</definedName>
    <definedName name="UHELNIKSUVNYUA50_C">#REF!</definedName>
    <definedName name="UHELNIKSUVNYUA50_D">#REF!</definedName>
    <definedName name="UHELNIKSUVNYUA50_E">#REF!</definedName>
    <definedName name="UHELNIKSUVNYUA75_A">#REF!</definedName>
    <definedName name="UHELNIKSUVNYUA75_B">#REF!</definedName>
    <definedName name="UHELNIKSUVNYUA75_C">#REF!</definedName>
    <definedName name="UHELNIKSUVNYUA75_D">#REF!</definedName>
    <definedName name="UHELNIKSUVNYUA75_E">#REF!</definedName>
    <definedName name="UHLOVAKOTVA">#REF!</definedName>
    <definedName name="UHLOVAKOTVA_A">#REF!</definedName>
    <definedName name="UHLOVAKOTVA_B">#REF!</definedName>
    <definedName name="UHLOVAKOTVA_C">#REF!</definedName>
    <definedName name="UHLOVAKOTVA_D">#REF!</definedName>
    <definedName name="UHLOVAKOTVA_E">#REF!</definedName>
    <definedName name="UKONCLISTAALU13X24_A">#REF!</definedName>
    <definedName name="UKONCLISTAALU13X24_B">#REF!</definedName>
    <definedName name="UKONCLISTAALU13X24_C">#REF!</definedName>
    <definedName name="UKONCLISTAALU13X24_D">#REF!</definedName>
    <definedName name="UKONCLISTAALU13X24_E">#REF!</definedName>
    <definedName name="UKONCPROFILPVC20X12.5">#REF!</definedName>
    <definedName name="UKONCPROFILPVC20X12.5_A">#REF!</definedName>
    <definedName name="UKONCPROFILPVC20X12.5_B">#REF!</definedName>
    <definedName name="UKONCPROFILPVC20X12.5_C">#REF!</definedName>
    <definedName name="UKONCPROFILPVC20X12.5_D">#REF!</definedName>
    <definedName name="UKONCPROFILPVC20X12.5_E">#REF!</definedName>
    <definedName name="UKONCPROFILPVC20X15_A">#REF!</definedName>
    <definedName name="UKONCPROFILPVC20X15_B">#REF!</definedName>
    <definedName name="UKONCPROFILPVC20X15_C">#REF!</definedName>
    <definedName name="UKONCPROFILPVC20X15_D">#REF!</definedName>
    <definedName name="UKONCPROFILPVC20X15_E">#REF!</definedName>
    <definedName name="UPROFIL_A">#REF!</definedName>
    <definedName name="UPROFIL_B">#REF!</definedName>
    <definedName name="UPROFIL_C">#REF!</definedName>
    <definedName name="UPROFIL_D">#REF!</definedName>
    <definedName name="UPROFIL_E">#REF!</definedName>
    <definedName name="UPROFILALTEKO">#REF!</definedName>
    <definedName name="usd">#REF!</definedName>
    <definedName name="UV">#REF!</definedName>
    <definedName name="UW100_A">#REF!</definedName>
    <definedName name="UW100_B">#REF!</definedName>
    <definedName name="UW100_C">#REF!</definedName>
    <definedName name="UW100_D">#REF!</definedName>
    <definedName name="UW100_E">#REF!</definedName>
    <definedName name="UW100HRANA100">#REF!</definedName>
    <definedName name="UW100HRANA100_A">#REF!</definedName>
    <definedName name="UW100HRANA100_B">#REF!</definedName>
    <definedName name="UW100HRANA100_C">#REF!</definedName>
    <definedName name="UW100HRANA100_D">#REF!</definedName>
    <definedName name="UW100HRANA100_E">#REF!</definedName>
    <definedName name="UW150_A">#REF!</definedName>
    <definedName name="UW150_B">#REF!</definedName>
    <definedName name="UW150_C">#REF!</definedName>
    <definedName name="UW150_D">#REF!</definedName>
    <definedName name="UW150_E">#REF!</definedName>
    <definedName name="UW50_A">#REF!</definedName>
    <definedName name="UW50_B">#REF!</definedName>
    <definedName name="UW50_C">#REF!</definedName>
    <definedName name="UW50_D">#REF!</definedName>
    <definedName name="UW50_E">#REF!</definedName>
    <definedName name="UW75_A">#REF!</definedName>
    <definedName name="UW75_B">#REF!</definedName>
    <definedName name="UW75_C">#REF!</definedName>
    <definedName name="UW75_D">#REF!</definedName>
    <definedName name="UW75_E">#REF!</definedName>
    <definedName name="V">#REF!</definedName>
    <definedName name="VARIO">#REF!</definedName>
    <definedName name="VARIO_A">#REF!</definedName>
    <definedName name="VARIO_B">#REF!</definedName>
    <definedName name="VARIO_C">#REF!</definedName>
    <definedName name="VARIO_D">#REF!</definedName>
    <definedName name="VARIO_E">#REF!</definedName>
    <definedName name="VIKOELEKTROKRABICE">#REF!</definedName>
    <definedName name="VIKOELEKTROKRABICE_A">#REF!</definedName>
    <definedName name="VIKOELEKTROKRABICE_B">#REF!</definedName>
    <definedName name="VIKOELEKTROKRABICE_C">#REF!</definedName>
    <definedName name="VIKOELEKTROKRABICE_D">#REF!</definedName>
    <definedName name="VIKOELEKTROKRABICE_E">#REF!</definedName>
    <definedName name="VIMPERK">'[24]DATA_INSTR'!$B:$F</definedName>
    <definedName name="VIMPERK1">'[24]DATA_INSTR'!$A:$F</definedName>
    <definedName name="vlevo" localSheetId="11">#REF!</definedName>
    <definedName name="vlevo" localSheetId="12">#REF!</definedName>
    <definedName name="vlevo">#REF!</definedName>
    <definedName name="VN">'[5]SO 01 - 06 ELEKTROINSTALACE'!$B$9644</definedName>
    <definedName name="Vodorovné_konstrukce">#REF!</definedName>
    <definedName name="VRN">'[18]Rekapitulace'!$H$15</definedName>
    <definedName name="VRNKc">#REF!</definedName>
    <definedName name="VRNnazev">#REF!</definedName>
    <definedName name="VRNproc">#REF!</definedName>
    <definedName name="VRNzakl">#REF!</definedName>
    <definedName name="VRUTDOSVISLYCHZAVESU4835" localSheetId="11">#REF!</definedName>
    <definedName name="VRUTDOSVISLYCHZAVESU4835" localSheetId="12">#REF!</definedName>
    <definedName name="VRUTDOSVISLYCHZAVESU4835">#REF!</definedName>
    <definedName name="VRUTDOSVISLYCHZAVESU4835_A" localSheetId="11">#REF!</definedName>
    <definedName name="VRUTDOSVISLYCHZAVESU4835_A" localSheetId="12">#REF!</definedName>
    <definedName name="VRUTDOSVISLYCHZAVESU4835_A">#REF!</definedName>
    <definedName name="VRUTDOSVISLYCHZAVESU4835_B" localSheetId="11">#REF!</definedName>
    <definedName name="VRUTDOSVISLYCHZAVESU4835_B" localSheetId="12">#REF!</definedName>
    <definedName name="VRUTDOSVISLYCHZAVESU4835_B">#REF!</definedName>
    <definedName name="VRUTDOSVISLYCHZAVESU4835_C">#REF!</definedName>
    <definedName name="VRUTDOSVISLYCHZAVESU4835_D">#REF!</definedName>
    <definedName name="VRUTDOSVISLYCHZAVESU4835_E">#REF!</definedName>
    <definedName name="VRUTDOSVISLYCHZAVESU4850">#REF!</definedName>
    <definedName name="VRUTDOSVISLYCHZAVESU4850_A">#REF!</definedName>
    <definedName name="VRUTDOSVISLYCHZAVESU4850_B">#REF!</definedName>
    <definedName name="VRUTDOSVISLYCHZAVESU4850_C">#REF!</definedName>
    <definedName name="VRUTDOSVISLYCHZAVESU4850_D">#REF!</definedName>
    <definedName name="VRUTDOSVISLYCHZAVESU4850_E">#REF!</definedName>
    <definedName name="výpočty">#REF!</definedName>
    <definedName name="vystup">#REF!</definedName>
    <definedName name="výtahy">'[4]Budova'!$A$1921:$A$1944</definedName>
    <definedName name="vytápění">'[4]Budova'!$A$1400:$A$1505</definedName>
    <definedName name="vzduchotechnika">'[4]Budova'!$A$1508:$A$1693</definedName>
    <definedName name="VZT">#REF!</definedName>
    <definedName name="W">#REF!</definedName>
    <definedName name="wrn.Tisk." hidden="1">{#N/A,#N/A,FALSE,"Nabídka";#N/A,#N/A,FALSE,"Specifikace"}</definedName>
    <definedName name="WW">#REF!</definedName>
    <definedName name="WWW">#REF!</definedName>
    <definedName name="wwwwww" localSheetId="11">#REF!</definedName>
    <definedName name="wwwwww" localSheetId="12">#REF!</definedName>
    <definedName name="wwwwww">#REF!</definedName>
    <definedName name="WWWWWWWW">#REF!</definedName>
    <definedName name="X">#REF!</definedName>
    <definedName name="xxxx">#REF!</definedName>
    <definedName name="z">#REF!</definedName>
    <definedName name="Z_0216E4A3_6182_11D6_9494_000102FA4DF4_.wvu.Cols" hidden="1">#REF!</definedName>
    <definedName name="Z_0216E4A3_6182_11D6_9494_000102FA4DF4_.wvu.PrintArea" hidden="1">#REF!</definedName>
    <definedName name="Z_0216E4A3_6182_11D6_9494_000102FA4DF4_.wvu.PrintTitles" hidden="1">#REF!</definedName>
    <definedName name="Z_1E8618C1_1B4D_11D4_B32D_0050046A422B_.wvu.PrintTitles">#REF!</definedName>
    <definedName name="Z_1E8618C1_1B4D_11D4_B32D_0050046A422B_.wvu.Rows">#REF!</definedName>
    <definedName name="Z_65AC2F60_1B4A_11D4_81C5_0050046A4233_.wvu.PrintTitles">#REF!</definedName>
    <definedName name="Z_65AC2F60_1B4A_11D4_81C5_0050046A4233_.wvu.Rows">#REF!</definedName>
    <definedName name="Z_A6D38DCC_6184_11D6_8FBA_000476959415_.wvu.Cols" hidden="1">#REF!</definedName>
    <definedName name="Z_A6D38DCC_6184_11D6_8FBA_000476959415_.wvu.PrintArea" hidden="1">#REF!</definedName>
    <definedName name="Z_A6D38DCC_6184_11D6_8FBA_000476959415_.wvu.PrintTitles" hidden="1">#REF!</definedName>
    <definedName name="zacatek">#REF!</definedName>
    <definedName name="zahrnsazby" localSheetId="11">#REF!</definedName>
    <definedName name="zahrnsazby" localSheetId="12">#REF!</definedName>
    <definedName name="zahrnsazby">#REF!</definedName>
    <definedName name="zahrnslevy" localSheetId="11">#REF!</definedName>
    <definedName name="zahrnslevy" localSheetId="12">#REF!</definedName>
    <definedName name="zahrnslevy">#REF!</definedName>
    <definedName name="Zakazka">#REF!</definedName>
    <definedName name="Zaklad22">#REF!</definedName>
    <definedName name="Zaklad5">#REF!</definedName>
    <definedName name="ZakladDPHSni">'[19]Stavba'!$G$23</definedName>
    <definedName name="ZakladDPHZakl">'[19]Stavba'!$G$25</definedName>
    <definedName name="Základy">#REF!</definedName>
    <definedName name="založ">'[4]Budova'!$A$691:$A$784</definedName>
    <definedName name="Zaokrouhleni">'[19]Stavba'!$G$27</definedName>
    <definedName name="ZARUBEN800100" localSheetId="11">#REF!</definedName>
    <definedName name="ZARUBEN800100" localSheetId="12">#REF!</definedName>
    <definedName name="ZARUBEN800100">#REF!</definedName>
    <definedName name="ZARUBEN800100_A" localSheetId="11">#REF!</definedName>
    <definedName name="ZARUBEN800100_A" localSheetId="12">#REF!</definedName>
    <definedName name="ZARUBEN800100_A">#REF!</definedName>
    <definedName name="ZARUBEN800100_B" localSheetId="11">#REF!</definedName>
    <definedName name="ZARUBEN800100_B" localSheetId="12">#REF!</definedName>
    <definedName name="ZARUBEN800100_B">#REF!</definedName>
    <definedName name="ZARUBEN800100_C">#REF!</definedName>
    <definedName name="ZARUBEN800100_D">#REF!</definedName>
    <definedName name="ZARUBEN800100_E">#REF!</definedName>
    <definedName name="ZARUBEN800125">#REF!</definedName>
    <definedName name="ZARUBEN800125_A">#REF!</definedName>
    <definedName name="ZARUBEN800125_B">#REF!</definedName>
    <definedName name="ZARUBEN800125_C">#REF!</definedName>
    <definedName name="ZARUBEN800125_D">#REF!</definedName>
    <definedName name="ZARUBEN800125_E">#REF!</definedName>
    <definedName name="ZARUBEN800150">#REF!</definedName>
    <definedName name="ZARUBEN800150_A">#REF!</definedName>
    <definedName name="ZARUBEN800150_B">#REF!</definedName>
    <definedName name="ZARUBEN800150_C">#REF!</definedName>
    <definedName name="ZARUBEN800150_D">#REF!</definedName>
    <definedName name="ZARUBEN800150_E">#REF!</definedName>
    <definedName name="ZARUBEN80075">#REF!</definedName>
    <definedName name="ZARUBEN80075_A">#REF!</definedName>
    <definedName name="ZARUBEN80075_B">#REF!</definedName>
    <definedName name="ZARUBEN80075_C">#REF!</definedName>
    <definedName name="ZARUBEN80075_D">#REF!</definedName>
    <definedName name="ZARUBEN80075_E">#REF!</definedName>
    <definedName name="ZARUBENM1250100">#REF!</definedName>
    <definedName name="ZARUBENM1250100_A">#REF!</definedName>
    <definedName name="ZARUBENM1250100_B">#REF!</definedName>
    <definedName name="ZARUBENM1250100_C">#REF!</definedName>
    <definedName name="ZARUBENM1250100_D">#REF!</definedName>
    <definedName name="ZARUBENM1250100_E">#REF!</definedName>
    <definedName name="ZARUBENM1450100">#REF!</definedName>
    <definedName name="ZARUBENM1450100_A">#REF!</definedName>
    <definedName name="ZARUBENM1450100_B">#REF!</definedName>
    <definedName name="ZARUBENM1450100_C">#REF!</definedName>
    <definedName name="ZARUBENM1450100_D">#REF!</definedName>
    <definedName name="ZARUBENM1450100_E">#REF!</definedName>
    <definedName name="ZARUBENM800100">#REF!</definedName>
    <definedName name="ZARUBENM800100_A">#REF!</definedName>
    <definedName name="ZARUBENM800100_B">#REF!</definedName>
    <definedName name="ZARUBENM800100_C">#REF!</definedName>
    <definedName name="ZARUBENM800100_D">#REF!</definedName>
    <definedName name="ZARUBENM800100_E">#REF!</definedName>
    <definedName name="ZARUBENM800125">#REF!</definedName>
    <definedName name="ZARUBENM800125_A">#REF!</definedName>
    <definedName name="ZARUBENM800125_B">#REF!</definedName>
    <definedName name="ZARUBENM800125_C">#REF!</definedName>
    <definedName name="ZARUBENM800125_D">#REF!</definedName>
    <definedName name="ZARUBENM800125_E">#REF!</definedName>
    <definedName name="ZARUBENM800150">#REF!</definedName>
    <definedName name="ZARUBENM800150_A">#REF!</definedName>
    <definedName name="ZARUBENM800150_C">#REF!</definedName>
    <definedName name="ZARUBENM800150_D">#REF!</definedName>
    <definedName name="ZARUBENM800150_E">#REF!</definedName>
    <definedName name="ZARUBENMT1100100">#REF!</definedName>
    <definedName name="ZARUBENMT1100100_A">#REF!</definedName>
    <definedName name="ZARUBENMT1100100_B">#REF!</definedName>
    <definedName name="ZARUBENMT1100100_C">#REF!</definedName>
    <definedName name="ZARUBENMT1100100_D">#REF!</definedName>
    <definedName name="ZARUBENMT1100100_E">#REF!</definedName>
    <definedName name="ZARUBENMT1250100">#REF!</definedName>
    <definedName name="ZARUBENMT1250100_A">#REF!</definedName>
    <definedName name="ZARUBENMT1250100_B">#REF!</definedName>
    <definedName name="ZARUBENMT1250100_C">#REF!</definedName>
    <definedName name="ZARUBENMT1250100_D">#REF!</definedName>
    <definedName name="ZARUBENMT1250100_E">#REF!</definedName>
    <definedName name="ZARUBENMT1450100">#REF!</definedName>
    <definedName name="ZARUBENMT1450100_A">#REF!</definedName>
    <definedName name="ZARUBENMT1450100_B">#REF!</definedName>
    <definedName name="ZARUBENMT1450100_C">#REF!</definedName>
    <definedName name="ZARUBENMT1450100_D">#REF!</definedName>
    <definedName name="ZARUBENMT1450100_E">#REF!</definedName>
    <definedName name="ZARUBENMT800100">#REF!</definedName>
    <definedName name="ZARUBENMT800100_A">#REF!</definedName>
    <definedName name="ZARUBENMT800100_B">#REF!</definedName>
    <definedName name="ZARUBENMT800100_C">#REF!</definedName>
    <definedName name="ZARUBENMT800100_D">#REF!</definedName>
    <definedName name="ZARUBENMT800100_E">#REF!</definedName>
    <definedName name="ZARUBENMT800125">#REF!</definedName>
    <definedName name="ZARUBENMT800125_A">#REF!</definedName>
    <definedName name="ZARUBENMT800125_B">#REF!</definedName>
    <definedName name="ZARUBENMT800125_C">#REF!</definedName>
    <definedName name="ZARUBENMT800125_D">#REF!</definedName>
    <definedName name="ZARUBENMT800125_E">#REF!</definedName>
    <definedName name="ZARUBENMT800150">#REF!</definedName>
    <definedName name="ZARUBENMT800150_A">#REF!</definedName>
    <definedName name="ZARUBENMT800150_B">#REF!</definedName>
    <definedName name="ZARUBENMT800150_C">#REF!</definedName>
    <definedName name="ZARUBENMT800150_D">#REF!</definedName>
    <definedName name="ZARUBENMT800150_E">#REF!</definedName>
    <definedName name="ZARUBENSILIKON800100">#REF!</definedName>
    <definedName name="ZARUBENSILIKON800100_A">#REF!</definedName>
    <definedName name="ZARUBENSILIKON800100_B">#REF!</definedName>
    <definedName name="ZARUBENSILIKON800100_C">#REF!</definedName>
    <definedName name="ZARUBENSILIKON800100_D">#REF!</definedName>
    <definedName name="ZARUBENSILIKON800100_E">#REF!</definedName>
    <definedName name="ZARUBENSILIKON800125">#REF!</definedName>
    <definedName name="ZARUBENSILIKON800125_A">#REF!</definedName>
    <definedName name="ZARUBENSILIKON800125_B">#REF!</definedName>
    <definedName name="ZARUBENSILIKON800125_C">#REF!</definedName>
    <definedName name="ZARUBENSILIKON800125_D">#REF!</definedName>
    <definedName name="ZARUBENSILIKON800125_E">#REF!</definedName>
    <definedName name="ZARUBENSILIKON800150">#REF!</definedName>
    <definedName name="ZARUBENSILIKON800150_A">#REF!</definedName>
    <definedName name="ZARUBENSILIKON800150_B">#REF!</definedName>
    <definedName name="ZARUBENSILIKON800150_C">#REF!</definedName>
    <definedName name="ZARUBENSILIKON800150_D">#REF!</definedName>
    <definedName name="ZARUBENSILIKON800150_E">#REF!</definedName>
    <definedName name="ZARUBENSILIKON80075">#REF!</definedName>
    <definedName name="ZARUBENSILIKON80075_A">#REF!</definedName>
    <definedName name="ZARUBENSILIKON80075_B">#REF!</definedName>
    <definedName name="ZARUBENSILIKON80075_C">#REF!</definedName>
    <definedName name="ZARUBENSILIKON80075_D">#REF!</definedName>
    <definedName name="ZARUBENSILIKON80075_E">#REF!</definedName>
    <definedName name="ZárukaNaCS">'[25]Rozp'!$C$22</definedName>
    <definedName name="ZAVESCD" localSheetId="11">#REF!</definedName>
    <definedName name="ZAVESCD" localSheetId="12">#REF!</definedName>
    <definedName name="ZAVESCD">#REF!</definedName>
    <definedName name="ZAVESCD_A" localSheetId="11">#REF!</definedName>
    <definedName name="ZAVESCD_A" localSheetId="12">#REF!</definedName>
    <definedName name="ZAVESCD_A">#REF!</definedName>
    <definedName name="ZAVESCD_B" localSheetId="11">#REF!</definedName>
    <definedName name="ZAVESCD_B" localSheetId="12">#REF!</definedName>
    <definedName name="ZAVESCD_B">#REF!</definedName>
    <definedName name="ZAVESCD_C">#REF!</definedName>
    <definedName name="ZAVESCD_D">#REF!</definedName>
    <definedName name="ZAVESCD_E">#REF!</definedName>
    <definedName name="ZAVESCDZAOBLENY_A">#REF!</definedName>
    <definedName name="ZAVESCDZAOBLENY_B">#REF!</definedName>
    <definedName name="ZAVESCDZAOBLENY_C">#REF!</definedName>
    <definedName name="ZAVESCDZAOBLENY_D">#REF!</definedName>
    <definedName name="ZAVESCDZAOBLENY_E">#REF!</definedName>
    <definedName name="ZAVESSPEREMRIGISTIL">#REF!</definedName>
    <definedName name="ZAVESSPEREMRIGISTIL_A">#REF!</definedName>
    <definedName name="ZAVESSPEREMRIGISTIL_B">#REF!</definedName>
    <definedName name="ZAVESSPEREMRIGISTIL_C">#REF!</definedName>
    <definedName name="ZAVESSPEREMRIGISTIL_D">#REF!</definedName>
    <definedName name="ZAVESSPEREMRIGISTIL_E">#REF!</definedName>
    <definedName name="zb">#REF!</definedName>
    <definedName name="zb_be">#REF!</definedName>
    <definedName name="zb_la">#REF!</definedName>
    <definedName name="zb_ła">#REF!</definedName>
    <definedName name="zb_ma">#REF!</definedName>
    <definedName name="zb_pf">#REF!</definedName>
    <definedName name="zb_rg">#REF!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emní_práce">#REF!</definedName>
    <definedName name="Zhotovitel">#REF!</definedName>
    <definedName name="Zkou">#REF!</definedName>
    <definedName name="zti">'[4]Budova'!$A$828:$A$914</definedName>
    <definedName name="ZTUZENISTEN" localSheetId="11">#REF!</definedName>
    <definedName name="ZTUZENISTEN" localSheetId="12">#REF!</definedName>
    <definedName name="ZTUZENISTEN">#REF!</definedName>
    <definedName name="ZTUZENISTEN_A" localSheetId="11">#REF!</definedName>
    <definedName name="ZTUZENISTEN_A" localSheetId="12">#REF!</definedName>
    <definedName name="ZTUZENISTEN_A">#REF!</definedName>
    <definedName name="ZTUZENISTEN_B" localSheetId="11">#REF!</definedName>
    <definedName name="ZTUZENISTEN_B" localSheetId="12">#REF!</definedName>
    <definedName name="ZTUZENISTEN_B">#REF!</definedName>
    <definedName name="ZTUZENISTEN_C">#REF!</definedName>
    <definedName name="ZTUZENISTEN_D">#REF!</definedName>
    <definedName name="ZTUZENISTEN_E">#REF!</definedName>
    <definedName name="zukktzerukitýžuk">#REF!</definedName>
    <definedName name="zukuilůuiluil">#REF!</definedName>
    <definedName name="zukzikzukzuk">#REF!</definedName>
    <definedName name="zukzukuiluiluil">#REF!</definedName>
    <definedName name="_xlnm.Print_Titles" localSheetId="0">'Rekapitulace'!$86:$86</definedName>
    <definedName name="_xlnm.Print_Titles" localSheetId="1">'bourání a demolice'!$110:$110</definedName>
    <definedName name="_xlnm.Print_Titles" localSheetId="2">'sanace'!$113:$113</definedName>
    <definedName name="_xlnm.Print_Titles" localSheetId="3">'stavební úpravy'!$131:$131</definedName>
    <definedName name="_xlnm.Print_Titles" localSheetId="4">'venkovní plochy a nové objekty'!$97:$97</definedName>
    <definedName name="_xlnm.Print_Titles" localSheetId="5">'výrobky a specifikace'!$114:$114</definedName>
    <definedName name="_xlnm.Print_Titles" localSheetId="6">'ZTI vodovod'!$10:$10</definedName>
    <definedName name="_xlnm.Print_Titles" localSheetId="7">'ZTI kanalizace'!$10:$10</definedName>
    <definedName name="_xlnm.Print_Titles" localSheetId="8">'ZTI plynovod'!$10:$10</definedName>
  </definedNames>
  <calcPr calcId="125725"/>
  <extLst/>
</workbook>
</file>

<file path=xl/sharedStrings.xml><?xml version="1.0" encoding="utf-8"?>
<sst xmlns="http://schemas.openxmlformats.org/spreadsheetml/2006/main" count="5916" uniqueCount="2464">
  <si>
    <t/>
  </si>
  <si>
    <t>SOUHRNNÝ LIST STAVBY</t>
  </si>
  <si>
    <t>Kód:</t>
  </si>
  <si>
    <t>Stavba:</t>
  </si>
  <si>
    <t>JKSO:</t>
  </si>
  <si>
    <t>CC-CZ:</t>
  </si>
  <si>
    <t>Místo:</t>
  </si>
  <si>
    <t>Datum:</t>
  </si>
  <si>
    <t>Objednatel:</t>
  </si>
  <si>
    <t>IČ:</t>
  </si>
  <si>
    <t>DIČ:</t>
  </si>
  <si>
    <t>Zhotovitel:</t>
  </si>
  <si>
    <t xml:space="preserve"> </t>
  </si>
  <si>
    <t>Projektant:</t>
  </si>
  <si>
    <t>Zpracovatel:</t>
  </si>
  <si>
    <t>Jakub Kulhavý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</si>
  <si>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</si>
  <si>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</si>
  <si>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</si>
  <si>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</si>
  <si>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</si>
  <si>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</si>
  <si>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</si>
  <si>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</si>
  <si>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</si>
  <si>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</si>
  <si>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</si>
  <si>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</si>
  <si>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</si>
  <si>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</si>
  <si>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</si>
  <si>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</si>
  <si>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</si>
  <si>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</si>
  <si>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</si>
  <si>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</si>
  <si>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</si>
  <si>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</si>
  <si>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</si>
  <si>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</si>
  <si>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</si>
  <si>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</si>
  <si>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</si>
  <si>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</si>
  <si>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</si>
  <si>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</si>
  <si>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</si>
  <si>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</si>
  <si>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</si>
  <si>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</si>
  <si>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</si>
  <si>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</si>
  <si>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</si>
  <si>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</si>
  <si>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</si>
  <si>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775 - Podlahy skládané</t>
  </si>
  <si>
    <t xml:space="preserve">    784 - Dokončovací práce - malby a tapety</t>
  </si>
  <si>
    <t>ROZPOČET</t>
  </si>
  <si>
    <t>PČ</t>
  </si>
  <si>
    <t>Typ</t>
  </si>
  <si>
    <t>Popis</t>
  </si>
  <si>
    <t>MJ</t>
  </si>
  <si>
    <t>Množství</t>
  </si>
  <si>
    <t>J.cena [CZK]</t>
  </si>
  <si>
    <t>K</t>
  </si>
  <si>
    <t>m2</t>
  </si>
  <si>
    <t>m3</t>
  </si>
  <si>
    <t>M</t>
  </si>
  <si>
    <t>t</t>
  </si>
  <si>
    <t>kus</t>
  </si>
  <si>
    <t>m</t>
  </si>
  <si>
    <t>R</t>
  </si>
  <si>
    <t>%</t>
  </si>
  <si>
    <t>713121111</t>
  </si>
  <si>
    <t>Montáž izolace tepelné podlah volně kladenými rohožemi, pásy, dílci, deskami 1 vrstva</t>
  </si>
  <si>
    <t>kpl</t>
  </si>
  <si>
    <t xml:space="preserve">    94 - Lešení</t>
  </si>
  <si>
    <t xml:space="preserve">    998 - Přesuny hmot pro HSV</t>
  </si>
  <si>
    <t>Provedení izolace proti zemní vlhkosti vodorovné za studena nátěrem penetračním</t>
  </si>
  <si>
    <t>11163150</t>
  </si>
  <si>
    <t>lak asfaltový penetrační</t>
  </si>
  <si>
    <t>Provedení izolace proti zemní vlhkosti pásy přitavením vodorovné NAIP</t>
  </si>
  <si>
    <t>711141559</t>
  </si>
  <si>
    <t>bm</t>
  </si>
  <si>
    <t>1.NP</t>
  </si>
  <si>
    <t>2.NP</t>
  </si>
  <si>
    <t>944511111</t>
  </si>
  <si>
    <t>Montáž ochranné sítě z textilie z umělých vláken</t>
  </si>
  <si>
    <t>944511211</t>
  </si>
  <si>
    <t>Příplatek k ochranné síti za první a ZKD den použití</t>
  </si>
  <si>
    <t>944511811</t>
  </si>
  <si>
    <t>Demontáž ochranné sítě z textilie z umělých vláken</t>
  </si>
  <si>
    <t>784181121</t>
  </si>
  <si>
    <t>Hloubková jednonásobná penetrace podkladu v místnostech výšky do 3,80 m</t>
  </si>
  <si>
    <t>784211101</t>
  </si>
  <si>
    <t>Dvojnásobné bílé malby ze směsí za mokra výborně otěruvzdorných v místnostech výšky do 3,80 m</t>
  </si>
  <si>
    <t>Seznam revizí:</t>
  </si>
  <si>
    <t xml:space="preserve">Celkové náklady </t>
  </si>
  <si>
    <t>Celkové náklady</t>
  </si>
  <si>
    <t>Zásyp jam, šachet, rýh nebo kolem objektů sypaninou se zhutněním</t>
  </si>
  <si>
    <t xml:space="preserve">    9 - Ostatní konstrukce a práce, bourání</t>
  </si>
  <si>
    <t xml:space="preserve">    712 - Povlakové krytiny</t>
  </si>
  <si>
    <t>998</t>
  </si>
  <si>
    <t>3) Technologie</t>
  </si>
  <si>
    <t>Celkové náklady za stavbu</t>
  </si>
  <si>
    <t>Celkové náklady z rozpočtů</t>
  </si>
  <si>
    <t>omítky</t>
  </si>
  <si>
    <t>SDK</t>
  </si>
  <si>
    <t xml:space="preserve">    783 - Dokončovací práce - nátěry</t>
  </si>
  <si>
    <t>Poznámka:</t>
  </si>
  <si>
    <t>Výpis materiálu osahuje dodávku základního materiálu pro danou akci. Dodávka akce se předpokládá včetně souvisejícího doplňkového, podružného a montážního materiálu tak, aby celé dílo bylo bezvadné a funkční a splňovalo všechny předpisy, které se na ně vztahují.
Níže uvedený popis je pouze zkráceným popisem z PD, před oceněním je nutné detailně prostudovat přesnou specifikaci uvedenou v příslušné části PD.</t>
  </si>
  <si>
    <t>174151101</t>
  </si>
  <si>
    <t>Uložení sypaniny na skládky nebo meziskládky</t>
  </si>
  <si>
    <t>místnosti dle tabulky</t>
  </si>
  <si>
    <t>Montáž lešení řadového modulového lehkého zatížení do 200 kg/m2 š do 0,9 m v do 10 m</t>
  </si>
  <si>
    <t>Příplatek k lešení řadovému modulovému lehkému š 0,9 m v do 25 m za první a ZKD den použití</t>
  </si>
  <si>
    <t>Demontáž lešení prostorového modulového lehkého bez podlah zatížení do 200 kg/m2 v do 10 m</t>
  </si>
  <si>
    <t>Přesun hmot pro budovy zděné v do 10 m</t>
  </si>
  <si>
    <t>711192.991</t>
  </si>
  <si>
    <t>Systémové průchodky hydroizolací</t>
  </si>
  <si>
    <t>fólie PE vyztužená pro parotěsnou vrstvu (reakce na oheň - třída F) 140g/m2</t>
  </si>
  <si>
    <t>geotextilie netkaná separační, ochranná, filtrační, drenážní PP 300g/m2</t>
  </si>
  <si>
    <t>Zařízení staveniště, včetně návozu a likvidace</t>
  </si>
  <si>
    <t>Úklid stavby - průběžný a finální, včetně likvidace odpadů</t>
  </si>
  <si>
    <t>Dokladová část - projekt skutečného provedení a veškeré doklady nutné ke kolaudaci a předání díla</t>
  </si>
  <si>
    <t>fasáda</t>
  </si>
  <si>
    <t xml:space="preserve">    771 - Podlahy z dlaždic</t>
  </si>
  <si>
    <t>SOUHRNNÝ VÝKAZ VÝMĚR, DODÁVEK A PRACÍ</t>
  </si>
  <si>
    <r>
      <t>Pozn.:</t>
    </r>
    <r>
      <rPr>
        <b/>
        <sz val="10"/>
        <rFont val="Arial CE"/>
        <family val="2"/>
      </rPr>
      <t>Zhotovitel je povinen vykázat množství dodávek a prací a související ocenění dle svého propočtu. Zhotovitel je zodpovědný za množství výměr, dodávek a prací uvedených ve výkazech výměr, dodávek a prací přiložených zhotovitelem k jeho nabídce.</t>
    </r>
  </si>
  <si>
    <t>položka , popis</t>
  </si>
  <si>
    <t>měrná jednotka</t>
  </si>
  <si>
    <t>množství</t>
  </si>
  <si>
    <t>jednotková cena [Kč]</t>
  </si>
  <si>
    <t>celková cena [Kč]</t>
  </si>
  <si>
    <t>poznámka</t>
  </si>
  <si>
    <t>Veškeré materiály a výrobky je možné nahradit jinými za dodržení podmínky stejných či lepších technických vlastností.</t>
  </si>
  <si>
    <t>bez DPH</t>
  </si>
  <si>
    <t>KONEČNÁ - ÚPLNÁ NABÍDKOVÁ CENA DODAVATELE ZA PLNĚ FUNKČNÍ KOMPLET ZTI</t>
  </si>
  <si>
    <t>K ceně materiálu jsou připočteny veškeré montážní a zemní práce,nátěry,tlakové zkoušky</t>
  </si>
  <si>
    <t>a revize,včetně pomocných konstrukcí - táhel,konzol a závěsů.V celkové nabídce dodavatele</t>
  </si>
  <si>
    <t>je zahrnut i odvoz suti na skládku.</t>
  </si>
  <si>
    <t>Tato specifikace množství je nedílnou součástí celého projektu pro výběr dodavatele dané akce. Ceny pro každou položku veškerý související materiál a práce včetně kompletní montáže, tak jak je uvedeno v technické zprávě. Ceny zařízení, která jsou ve výkresech označena jako celek musí být pro kompletní zařízení, tak jak je uvedeno v technické zprávě . Povinností dodavatele je překontrolovat výše uvedenou specifikaci a případný chybějící materiál doplnit a ocenit.</t>
  </si>
  <si>
    <t xml:space="preserve">Výpis materiálu osahuje dodávku základního materiálu pro danou akci. Dodávka akce se předpokládá včetně souvisejícího doplňkového, podružného a montážního materiálu tak, aby celé zřízení bylo funkční a splňovalo všechny předpisy, které se na ně vztahují.  Součástí potrubí jsou ne jen kolena, oblouky, redukce, uložení, šroubení ale i odvzdušnění, vypouštění a podpěry, konzoly a závěsy a veškeré ocelové konstrukce potřebné k uložení potrubí, propláchnutí soustavy, .... Závitové armatury budou dodány včetně potřebných připojovacích šroubení, konopí, fermeže .... Přírubové a bezpřírubové armatury  budou dodány včetně potřebných protipřírub, těsnění, šroubů .... Manometry jsou včetně smyčky a trojcestného manometrického kohoutu. Teploměry jsou včetně návarku a jímky. Napojení čerpadel a zařízení je myšleno včetně připojovacích šroubení resp. protipřírub, .... </t>
  </si>
  <si>
    <t>Veškeré použité výrobky musí mít osvědčení o schválení k provozu v České republice.</t>
  </si>
  <si>
    <t>U zařízení, kde není uvedeno množství (odvzdušnění, vypouštění, izolace, nátěry,….) určí potenciální dodavatel cenu odborným odhadem (odvzdušnění,...),          resp. množství vyplývá z předchozích položek (izolace,….).</t>
  </si>
  <si>
    <t>Pozice</t>
  </si>
  <si>
    <t>cena / mj</t>
  </si>
  <si>
    <t>cena celkem</t>
  </si>
  <si>
    <t>1</t>
  </si>
  <si>
    <t>ks</t>
  </si>
  <si>
    <t>2</t>
  </si>
  <si>
    <t>3</t>
  </si>
  <si>
    <t>Cena celkem bez DPH</t>
  </si>
  <si>
    <t>1.1</t>
  </si>
  <si>
    <t>1.2</t>
  </si>
  <si>
    <t>1.3</t>
  </si>
  <si>
    <t>1.4</t>
  </si>
  <si>
    <t>1.5</t>
  </si>
  <si>
    <t>1.6</t>
  </si>
  <si>
    <t>1.7</t>
  </si>
  <si>
    <t>1.8</t>
  </si>
  <si>
    <t>1.10</t>
  </si>
  <si>
    <t>1.11</t>
  </si>
  <si>
    <t>popis</t>
  </si>
  <si>
    <t>celkem montáž</t>
  </si>
  <si>
    <t>odkazy</t>
  </si>
  <si>
    <t>Zakrytí výplní otvorů a svislých ploch fólií přilepenou lepící páskou</t>
  </si>
  <si>
    <t>fasádní výplně oboustranně</t>
  </si>
  <si>
    <t>Lešení pomocné pro objekty pozemních staveb s lešeňovou podlahou v do 1,9 m zatížení do 150 kg/m2</t>
  </si>
  <si>
    <t>pro výstavbu - podlahová plocha</t>
  </si>
  <si>
    <t>GLASTEK 40</t>
  </si>
  <si>
    <t>přesahy</t>
  </si>
  <si>
    <t>Provedení izolace proti zemní vlhkosti svislé z nopové fólie</t>
  </si>
  <si>
    <t>fólie profilovaná (nopová) drenážní HDPE s nakašírovanou filtrační textilií s výškou nopů 8mm</t>
  </si>
  <si>
    <t>Izolace pod dlažbu nátěrem nebo stěrkou ve dvou vrstvách</t>
  </si>
  <si>
    <t>Izolace těsnícími pásy mezi podlahou a stěnou</t>
  </si>
  <si>
    <t>Montáž podlah keramických velkoformátových hladkých lepených flexibilním lepidlem přes 4 do 6 ks/m2</t>
  </si>
  <si>
    <t>dlažba velkoformátová keramická slinutá protiskluzná do interiéru i exteriéru pro vysoké mechanické namáhání přes 4 do 6ks/m2</t>
  </si>
  <si>
    <t xml:space="preserve">    781 - Keramické obklady</t>
  </si>
  <si>
    <t>781493.R001</t>
  </si>
  <si>
    <t>4</t>
  </si>
  <si>
    <t>5</t>
  </si>
  <si>
    <t>6</t>
  </si>
  <si>
    <t>7</t>
  </si>
  <si>
    <t>8</t>
  </si>
  <si>
    <t>V jednotlivých položkách je obsažena cena za zhotovení ev. výrobní dokumentace, veškeré přípravné práce, odzkoušení a revize veškerého zařízení a instalací, systémové prostupy konstrukcemi, požární ucpávky dle PBS, koordinace s ostatními profesemi, stavební přípomoce, vypracování ev. provozních řádů, návodů na údržbu a provoz, vypracování servisního plánu, dokumentace skutečného provedení, veškerý podružný materiál, značení potrubí informačními  štítky, proplach a desinfekci potrubí, napuštěnění i vypuštění systému při montáži, zaregulování systému, pomocný spojovací materiál, závěsovou techniku a úložné konstrukce- závěsy, pomocná lešení, dopravu veškerého materiálu atd..</t>
  </si>
  <si>
    <t>Vertikální přesun hmot na stavbě - stavební výtahy, manipulátory a jeřáby</t>
  </si>
  <si>
    <t>Poznámky:</t>
  </si>
  <si>
    <t xml:space="preserve"> - položky uvedené v soupisu prací a dodávek je nutné ocenit včetně veškerých potřebných nákladů na práci a materiál tak, aby byla zajištěna plná a bezpodmínečná bezvadná funkčnost dokončeného předaného díla</t>
  </si>
  <si>
    <t xml:space="preserve"> - předložením oceněného soupisu prací a dodávek Zhotovitel prohlašuje, že si veškeré položky a výměry zkontroloval a předložená cenová nabídka zahrnuje veškeré náklady pro provedení bezvadného funkčního díla dl uvedené PD</t>
  </si>
  <si>
    <t>1.1.1</t>
  </si>
  <si>
    <t>1.2.1</t>
  </si>
  <si>
    <t>Na Základě:</t>
  </si>
  <si>
    <t>Na základě:</t>
  </si>
  <si>
    <t>odkaz</t>
  </si>
  <si>
    <t>naložení výkopku pro přesun na skládku</t>
  </si>
  <si>
    <t>Vodorovné přemístění přes 9 000 do 10000 m výkopku/sypaniny z horniny třídy těžitelnosti I skupiny 1 až 3</t>
  </si>
  <si>
    <t>celková vzdálenost tam a zpět do 35km</t>
  </si>
  <si>
    <t>poplatek za recyklační skládku</t>
  </si>
  <si>
    <t>množství v m3 x sypná hmotnost zeminy 1,6</t>
  </si>
  <si>
    <t>Poplatek za uložení zeminy a kamení na recyklační skládce (skládkovné) kód odpadu 17 05 04</t>
  </si>
  <si>
    <t xml:space="preserve">Nakládání výkopku z hornin třídy těžitelnosti I skupiny 1 až 3 přes 100 m3 </t>
  </si>
  <si>
    <t xml:space="preserve">Příplatek k vodorovnému přemístění výkopku/sypaniny z horniny třídy těžitelnosti I skupiny 1 až 3 ZKD 1000 m přes 10000 m </t>
  </si>
  <si>
    <t>998.R001</t>
  </si>
  <si>
    <t>CZK / m2 HPP</t>
  </si>
  <si>
    <t>m2 HPP</t>
  </si>
  <si>
    <t>CZK bez DPH / m2HPP</t>
  </si>
  <si>
    <t>vrchní</t>
  </si>
  <si>
    <t xml:space="preserve">pás asfaltový natavitelný modifikovaný SBS tl 4,0mm s vložkou ze skleněné tkaniny a spalitelnou PE fólií nebo jemnozrnným minerálním posypem na horním povrchu </t>
  </si>
  <si>
    <t xml:space="preserve">711491172 </t>
  </si>
  <si>
    <t>Provedení doplňků izolace proti vodě na vodorovné ploše z textilií vrstva ochranná</t>
  </si>
  <si>
    <t>přesun na skládku - výkopek</t>
  </si>
  <si>
    <t xml:space="preserve">Podklad ze štěrkodrtě ŠD plochy do 100 m2 tl 150 mm </t>
  </si>
  <si>
    <t>Zpevněné a nezpevněné plochy</t>
  </si>
  <si>
    <t>Celková cena</t>
  </si>
  <si>
    <t>2.1</t>
  </si>
  <si>
    <t>2.3</t>
  </si>
  <si>
    <t>2.2</t>
  </si>
  <si>
    <t>2.6</t>
  </si>
  <si>
    <t>2.4</t>
  </si>
  <si>
    <t>2.5</t>
  </si>
  <si>
    <t>3.1</t>
  </si>
  <si>
    <t>4.1</t>
  </si>
  <si>
    <t>4.2</t>
  </si>
  <si>
    <t>4.3</t>
  </si>
  <si>
    <t>4.4</t>
  </si>
  <si>
    <t>4.5</t>
  </si>
  <si>
    <t>3.2</t>
  </si>
  <si>
    <t>3.3</t>
  </si>
  <si>
    <t>3.4</t>
  </si>
  <si>
    <t>5.1</t>
  </si>
  <si>
    <t>5.2</t>
  </si>
  <si>
    <t>6.1</t>
  </si>
  <si>
    <t>6.2</t>
  </si>
  <si>
    <t>6.3</t>
  </si>
  <si>
    <t>7.1</t>
  </si>
  <si>
    <t>7.2</t>
  </si>
  <si>
    <t>8.1</t>
  </si>
  <si>
    <t>3.5</t>
  </si>
  <si>
    <t>3.6</t>
  </si>
  <si>
    <t>1.3.1</t>
  </si>
  <si>
    <t>1.3.2</t>
  </si>
  <si>
    <t>1.3.3</t>
  </si>
  <si>
    <t>Svítidla</t>
  </si>
  <si>
    <t>výkopek celkem</t>
  </si>
  <si>
    <t>1.NP odpoče otvorů</t>
  </si>
  <si>
    <t>odkazy a vzorec</t>
  </si>
  <si>
    <t xml:space="preserve">Mazanina tl přes 50 do 80 mm z betonu prostého bez zvýšených nároků na prostředí tř. C 20/25 </t>
  </si>
  <si>
    <t>Příplatek k mazaninám za přidání skleněných vláken pro objemové vyztužení 3 kg/m3</t>
  </si>
  <si>
    <t xml:space="preserve">Provedení povlakové krytiny střech do 10° termoplastickou fólií PVC rozvinutím a natažením v ploše </t>
  </si>
  <si>
    <t xml:space="preserve">Provedení povlakové krytina střech do 10° spoj 2 pásů fólií PVC horkovzdušným navařením </t>
  </si>
  <si>
    <t xml:space="preserve">Provedení povlakové krytiny střech do 10° provedení rohů a koutů navařením izolačních tvarovek </t>
  </si>
  <si>
    <t>Povlakové krytiny střech do 10° z tvarovaných poplastovaných lišt délky 2 m koutová lišta vnitřní rš 100 mm</t>
  </si>
  <si>
    <t xml:space="preserve">Povlakové krytiny střech do 10° z tvarovaných poplastovaných lišt délky 2 m stěnová lišta vyhnutá rš 70 mm </t>
  </si>
  <si>
    <t xml:space="preserve">lišta L koutová vnitřní z poplastovaného plechu (PVC-P) rš 100mm </t>
  </si>
  <si>
    <t xml:space="preserve">lišta stěnová vyhnutá z poplastovaného plechu (PVC-P) rš 70mm </t>
  </si>
  <si>
    <t xml:space="preserve">Spojovací prostředky krovů, bednění, laťování, nadstřešních konstrukcí </t>
  </si>
  <si>
    <t xml:space="preserve">Ztužující výplň otvoru pro dveře pro příčky do 2,75 m zátěž křídla do 25 kg </t>
  </si>
  <si>
    <t>odpočet obklad</t>
  </si>
  <si>
    <t xml:space="preserve">    5 - Komunikace a venkovní plochy</t>
  </si>
  <si>
    <t>Osazení chodníkového obrubníku betonového ležatého s boční opěrou do lože z betonu prostého</t>
  </si>
  <si>
    <t xml:space="preserve">obrubník betonový chodníkový 1000x80x250mm </t>
  </si>
  <si>
    <t xml:space="preserve">    9 - Ostatní konstrukce a práce - drobné objekty a oplocení</t>
  </si>
  <si>
    <t>4) Vedlejší rozpočtové náklady - pro oba objekty dohromady</t>
  </si>
  <si>
    <t>jednotková cena</t>
  </si>
  <si>
    <t>4.6</t>
  </si>
  <si>
    <t>4.7</t>
  </si>
  <si>
    <t>4.8</t>
  </si>
  <si>
    <t>4.9</t>
  </si>
  <si>
    <t>4.10</t>
  </si>
  <si>
    <t>Další nákady</t>
  </si>
  <si>
    <t xml:space="preserve">Údaje s jednotkou délky budou před objednáním přeměřeny na konstrukcích a objednány dle skutečné délky.  </t>
  </si>
  <si>
    <t xml:space="preserve">Firma provádějící nabídku je povinna materiál přepočítat. </t>
  </si>
  <si>
    <t>V případě položky neuvedené ve výkazu materiálu, bude ocenění takové položky provedeno ve zvláštní části nabídky</t>
  </si>
  <si>
    <t>1) Zařízení</t>
  </si>
  <si>
    <t>2) Potrubí a tvarovky venkovního rozvodu (vnější průměr x tl.stěny)</t>
  </si>
  <si>
    <t>3) Potrubí vnitřního rozvodu (značeno PPR)</t>
  </si>
  <si>
    <t>Studená voda:</t>
  </si>
  <si>
    <t>Teplá voda:</t>
  </si>
  <si>
    <t>4) Izolace potrubí (značeného PPR)</t>
  </si>
  <si>
    <t>Studená voda - PE návleky:</t>
  </si>
  <si>
    <t>Páska na přelepení spojů samolepící</t>
  </si>
  <si>
    <t>Teplá voda - kaučuková izolace, lepené spoje:</t>
  </si>
  <si>
    <t>22x13 Kaučukový návlek hadice</t>
  </si>
  <si>
    <t>Samolepící izolační páska 15m/50mm Kaučuk</t>
  </si>
  <si>
    <t>Lepidlo (balení 220g) pro kaučukové izolace</t>
  </si>
  <si>
    <t>Objímka kovová (pro PPR 20) 20-23 pozink</t>
  </si>
  <si>
    <t>Objímka kovová (pro PPR 25) 25-30 pozink</t>
  </si>
  <si>
    <t>Objímka kovová (pro PPR 32) 31-38 pozink</t>
  </si>
  <si>
    <t>Vrut pro objímku, 80mm M 8 pozink</t>
  </si>
  <si>
    <t>Hmoždinky 12mm plast</t>
  </si>
  <si>
    <t>Pračky, myčky</t>
  </si>
  <si>
    <t>Pračkový ventil</t>
  </si>
  <si>
    <t>Pračkový podomítkový sifon</t>
  </si>
  <si>
    <t>Kulový kohout páčka DN 25 R910</t>
  </si>
  <si>
    <t>Vypouštěcí kohout s kovovou páčkou DN 15 R608D</t>
  </si>
  <si>
    <t>Kanalizační trubky hladké 160 KG-SN4</t>
  </si>
  <si>
    <t>Kanalizační trubky hladké 110 KG-SN4</t>
  </si>
  <si>
    <t>Kanalizační trubky hladké 125 KG-SN4</t>
  </si>
  <si>
    <t>Redukce 160/125 KG-SN4/8</t>
  </si>
  <si>
    <t>Objímka kovová (pro 110) 102-116</t>
  </si>
  <si>
    <t>Vrut pro objímku, 80mm M 8</t>
  </si>
  <si>
    <t>Hmoždinky 12mm</t>
  </si>
  <si>
    <t>Kanalizační trubky hladké 50 HT</t>
  </si>
  <si>
    <t>Kanalizační trubky hladké 110 HT</t>
  </si>
  <si>
    <t>Koleno 50 45o HT</t>
  </si>
  <si>
    <t>Koleno 50 87o HT</t>
  </si>
  <si>
    <t>Koleno 110 45o HT</t>
  </si>
  <si>
    <t>Odbočka 50/50 87o HT</t>
  </si>
  <si>
    <t>Odbočka 75/50 87o HT</t>
  </si>
  <si>
    <t>Odbočka 110/50 87o HT</t>
  </si>
  <si>
    <t>Odbočka 110/110 87o HT</t>
  </si>
  <si>
    <t>Redukce 50/32 HT</t>
  </si>
  <si>
    <t>Redukce 110/50 HT</t>
  </si>
  <si>
    <t>Objímka kovová (pro 50) 48-54</t>
  </si>
  <si>
    <t>Objímka kovová (pro 75) 72-78</t>
  </si>
  <si>
    <t>Bezpečnostní ventil MK3/4 MK3/4</t>
  </si>
  <si>
    <t>Izolace - měď</t>
  </si>
  <si>
    <t>PE Návleky</t>
  </si>
  <si>
    <t>15x15 PE návleky pouzdro</t>
  </si>
  <si>
    <t>18x15 PE návleky pouzdro</t>
  </si>
  <si>
    <t>3.1.1</t>
  </si>
  <si>
    <t>3.1.2</t>
  </si>
  <si>
    <t>3.1.3</t>
  </si>
  <si>
    <t>Minerální vlna s hliníkovou fólií</t>
  </si>
  <si>
    <t>22x20 min.vlna s hliníkovou folií vinuté pouzdro</t>
  </si>
  <si>
    <t>28x20 min.vlna s hliníkovou folií vinuté pouzdro</t>
  </si>
  <si>
    <t>Al páska 50mm/50m samolepící hliníková páska</t>
  </si>
  <si>
    <t>Upevnění potrubí - měď</t>
  </si>
  <si>
    <t>Objímka (pro 22x1) kovová 20-23</t>
  </si>
  <si>
    <t>Objímka (pro 28x1) kovová 25-30</t>
  </si>
  <si>
    <t>Vrut pro kov. objímku 80mm M 8</t>
  </si>
  <si>
    <t>Napojení těles</t>
  </si>
  <si>
    <t>Napojení těles (VK na Cu, rohové)</t>
  </si>
  <si>
    <t>Termostatická hlavice M30x1,5 DX</t>
  </si>
  <si>
    <t>Napojení těles (koupelnové středové na Cu, univerzální)</t>
  </si>
  <si>
    <t>Svěrné šroubení na měď G 3/4 3831-15351</t>
  </si>
  <si>
    <t>9</t>
  </si>
  <si>
    <t>9.1</t>
  </si>
  <si>
    <t>9.2</t>
  </si>
  <si>
    <t>9.3</t>
  </si>
  <si>
    <t>9.4</t>
  </si>
  <si>
    <t>9.5</t>
  </si>
  <si>
    <t>Závitové armatury</t>
  </si>
  <si>
    <t>10</t>
  </si>
  <si>
    <t>10.1</t>
  </si>
  <si>
    <t>Mosazné tvarovky</t>
  </si>
  <si>
    <t>Šroubení topenářské přímé DN 25 SP603</t>
  </si>
  <si>
    <t>11</t>
  </si>
  <si>
    <t>11.1</t>
  </si>
  <si>
    <t>11.2</t>
  </si>
  <si>
    <t>Bourání a demolice</t>
  </si>
  <si>
    <t>obkopání objektu</t>
  </si>
  <si>
    <t xml:space="preserve">Hloubení nezapažených rýh šířky do 800 mm v nesoudržných horninách třídy těžitelnosti I skupiny 3 ručně </t>
  </si>
  <si>
    <t>Odstranění podkladu z betonu prostého tl přes 100 do 150 mm strojně pl přes 50 do 200 m2</t>
  </si>
  <si>
    <t>plocha dvoru</t>
  </si>
  <si>
    <t>m3OP</t>
  </si>
  <si>
    <t xml:space="preserve">Vybourání schodišťových stupňů ze zdi cihelné jednostranně </t>
  </si>
  <si>
    <t xml:space="preserve">Otlučení (osekání) vnitřní vápenné nebo vápenocementové omítky stěn v rozsahu přes 50 do 100 % </t>
  </si>
  <si>
    <t>obklady 1.NP</t>
  </si>
  <si>
    <t>Odsekání a odebrání obkladů stěn z vnitřních obkládaček plochy přes 1 m2</t>
  </si>
  <si>
    <t xml:space="preserve">Otlučení (osekání) vnější vápenné nebo vápenocementové omítky stupně členitosti 1 a 2 v rozsahu přes 80 do 100 % </t>
  </si>
  <si>
    <t xml:space="preserve">Vyškrabání spár zdiva cihelného mimo komínového </t>
  </si>
  <si>
    <t>okna 1.NP</t>
  </si>
  <si>
    <t>okna 2.NP</t>
  </si>
  <si>
    <t>okna 3.NP</t>
  </si>
  <si>
    <t xml:space="preserve">Vyvěšení nebo zavěšení dřevěných křídel dveří pl do 2 m2 </t>
  </si>
  <si>
    <t xml:space="preserve">Vybourání dřevěných rámů oken jednoduchých včetně křídel pl do 2 m2 </t>
  </si>
  <si>
    <t>Bourání zdiva z cihel pálených nebo vápenopískových na MV nebo MVC do 1 m3</t>
  </si>
  <si>
    <t>zdivo 1.NP - parapety</t>
  </si>
  <si>
    <t xml:space="preserve">Bourání schodišťových stupňů betonových zhotovených na místě </t>
  </si>
  <si>
    <t xml:space="preserve">Demontáž klozetu Kombi </t>
  </si>
  <si>
    <t xml:space="preserve">Demontáž umyvadel bez výtokových armatur </t>
  </si>
  <si>
    <t xml:space="preserve">Demontáž baterie nástěnné do G 3 / 4 </t>
  </si>
  <si>
    <t xml:space="preserve">Demontáž podlah z dlaždic keramických kladených do malty </t>
  </si>
  <si>
    <t xml:space="preserve">Demontáž podlah s polštáři z prken tloušťky do 32 mm </t>
  </si>
  <si>
    <t xml:space="preserve">965082923 </t>
  </si>
  <si>
    <t xml:space="preserve">Odstranění násypů pod podlahami tl do 100 mm pl přes 2 m2 </t>
  </si>
  <si>
    <t xml:space="preserve">965042141 </t>
  </si>
  <si>
    <t xml:space="preserve">Bourání podkladů pod dlažby nebo mazanin betonových nebo z litého asfaltu tl do 100 mm pl přes 4 m2 </t>
  </si>
  <si>
    <t xml:space="preserve">Příplatek k demontáži krytiny keramické hladké do suti za sklon přes 30° </t>
  </si>
  <si>
    <t xml:space="preserve">Demontáž laťování střech z latí osové vzdálenosti do 0,22 m </t>
  </si>
  <si>
    <t xml:space="preserve">Vybourání dřevěných rámů oken jednoduchých včetně křídel pl do 4 m2 </t>
  </si>
  <si>
    <t>dveře 1.NP</t>
  </si>
  <si>
    <t>dveře 2.NP</t>
  </si>
  <si>
    <t xml:space="preserve">    997 - Přesuny suti</t>
  </si>
  <si>
    <t xml:space="preserve">Poplatek za uložení stavebního odpadu na recyklační skládce (skládkovné) z prostého betonu kód odpadu 17 01 01 </t>
  </si>
  <si>
    <t xml:space="preserve">Poplatek za uložení stavebního odpadu na recyklační skládce (skládkovné) cihelného kód odpadu 17 01 02 </t>
  </si>
  <si>
    <t xml:space="preserve">Poplatek za uložení stavebního odpadu na recyklační skládce (skládkovné) z tašek a keramických výrobků kód odpadu 17 01 03 </t>
  </si>
  <si>
    <t xml:space="preserve">Poplatek za uložení stavebního odpadu na recyklační skládce (skládkovné) směsného stavebního a demoličního kód odpadu 17 09 04 </t>
  </si>
  <si>
    <t xml:space="preserve">Poplatek za uložení na skládce (skládkovné) stavebního odpadu dřevěného kód odpadu 17 02 01 </t>
  </si>
  <si>
    <t>Vnitrostaveništní doprava suti a vybouraných hmot pro budovy v přes 9 do 12 m ručně</t>
  </si>
  <si>
    <t>Odvoz suti a vybouraných hmot na skládku nebo meziskládku do 1 km se složením</t>
  </si>
  <si>
    <t>Příplatek k odvozu suti a vybouraných hmot na skládku ZKD 1 km přes 1 km</t>
  </si>
  <si>
    <t>Stavební úpravy objektu</t>
  </si>
  <si>
    <t>2) Stavební práce a dodávky</t>
  </si>
  <si>
    <t>podkopání základů</t>
  </si>
  <si>
    <t>Postupné podbetonování základového zdiva prostým betonem tř. C 25/30</t>
  </si>
  <si>
    <t>podbetonování základu</t>
  </si>
  <si>
    <t xml:space="preserve">Hloubená vykopávka pod základy v hornině třídy těžitelnosti I skupiny 3 ručně </t>
  </si>
  <si>
    <t>odpoče otvorů</t>
  </si>
  <si>
    <t xml:space="preserve">Válcované nosníky č.14 až 22 dodatečně osazované do připravených otvorů </t>
  </si>
  <si>
    <t xml:space="preserve">Válcované nosníky do č.12 dodatečně osazované do připravených otvorů </t>
  </si>
  <si>
    <t>P1</t>
  </si>
  <si>
    <t>P2</t>
  </si>
  <si>
    <t xml:space="preserve">974031666 </t>
  </si>
  <si>
    <t xml:space="preserve">Vysekání rýh ve zdivu cihelném pro vtahování nosníků hl do 150 mm v do 250 mm </t>
  </si>
  <si>
    <t xml:space="preserve">Spárování spárovací maltou vnitřních pohledových ploch stropů z cihel </t>
  </si>
  <si>
    <t xml:space="preserve">Spárování spárovací maltou vnitřních pohledových ploch stěn z cihel </t>
  </si>
  <si>
    <t xml:space="preserve">Penetrační nátěr vnějších stěn nanášený ručně </t>
  </si>
  <si>
    <t xml:space="preserve">Sanační jednovrstvá omítka vnějších stěn nanášená ručně </t>
  </si>
  <si>
    <t>skladba St.3</t>
  </si>
  <si>
    <t xml:space="preserve">Separační vrstva z geotextilie </t>
  </si>
  <si>
    <t xml:space="preserve">Násyp pod podlahy z keramzitu </t>
  </si>
  <si>
    <t xml:space="preserve">Separační vrstva z PE fólie </t>
  </si>
  <si>
    <t xml:space="preserve">Krycí dvojnásobný silikátový nátěr omítek stupně členitosti 1 a 2 </t>
  </si>
  <si>
    <t xml:space="preserve">Hydrofobizační transparentní silikonový nátěr omítek stupně členitosti 1 a 2 </t>
  </si>
  <si>
    <t>Výztuž mazanin svařovanými sítěmi Kari</t>
  </si>
  <si>
    <t>Provedení izolace proti zemní vlhkosti hydroizolační stěrkou svislé na zdivu, 2 vrstvy</t>
  </si>
  <si>
    <t>Provedení izolace proti zemní vlhkosti hydroizolační stěrkou vodorovné na betonu, 2 vrstvy</t>
  </si>
  <si>
    <t>kg</t>
  </si>
  <si>
    <t>EPS 120</t>
  </si>
  <si>
    <t xml:space="preserve">28375927 </t>
  </si>
  <si>
    <t xml:space="preserve">deska EPS 200 pro konstrukce s velmi vysokým zatížením λ=0,034 tl 120mm </t>
  </si>
  <si>
    <t>MW 20</t>
  </si>
  <si>
    <t>deska čedičová minerální pro snížení kročejového hluku (max. zatížení 5 kN/m2) tl 20mm</t>
  </si>
  <si>
    <t xml:space="preserve">pás tepelně izolační univerzální λ=0,032-0,033 tl 120mm </t>
  </si>
  <si>
    <t xml:space="preserve">pás tepelně izolační univerzální λ=0,032-0,033 tl 200mm </t>
  </si>
  <si>
    <t>Provedení povlakové krytiny střech do 10° za studena lakem penetračním nebo asfaltovým</t>
  </si>
  <si>
    <t>Provedení povlakové krytiny střech do 10° pásy NAIP přitavením v plné ploše</t>
  </si>
  <si>
    <t>Montáž izolace tepelné střech plochých kladené volně 1 vrstva rohoží, pásů, dílců, desek</t>
  </si>
  <si>
    <t xml:space="preserve">Montáž izolace tepelné střech plochých kladené volně, spádová vrstva </t>
  </si>
  <si>
    <t xml:space="preserve">28376143 </t>
  </si>
  <si>
    <t>klín izolační EPS 200 spád do 5%</t>
  </si>
  <si>
    <t xml:space="preserve">Povlakové krytiny střech plochých do 10° podkladní textilní vrstvy </t>
  </si>
  <si>
    <t xml:space="preserve">Provedení povlakové krytiny střech do 10° násypem z hrubého kameniva tl 50 mm </t>
  </si>
  <si>
    <t xml:space="preserve">kamenivo dekorační (kačírek) frakce 8/16 </t>
  </si>
  <si>
    <t xml:space="preserve">763111433 </t>
  </si>
  <si>
    <t>SDK příčka tl 125 mm profil CW+UW 75 desky 2xH2 12,5 bez izolace EI 60</t>
  </si>
  <si>
    <t>skladba St.5</t>
  </si>
  <si>
    <t xml:space="preserve">Montáž parotěsné zábrany do SDK podhledu </t>
  </si>
  <si>
    <t>podhledy</t>
  </si>
  <si>
    <t xml:space="preserve">763131752 </t>
  </si>
  <si>
    <t xml:space="preserve">Montáž jedné vrstvy tepelné izolace do SDK podhledu </t>
  </si>
  <si>
    <t xml:space="preserve">    765 - Konstrukce pokrývačské</t>
  </si>
  <si>
    <t xml:space="preserve">Krytina keramická bobrovka režná korunové krytí sklonu do 30° na sucho </t>
  </si>
  <si>
    <t>Příplatek k montáži krytiny keramické za připevňovací prostředky za sklon přes 30° do 40°</t>
  </si>
  <si>
    <t>odhad</t>
  </si>
  <si>
    <t>izolace koupelny a WC</t>
  </si>
  <si>
    <t>Montáž podlah keramických hladkých lepených flexibilním lepidlem přes 19 do 22 ks/m2</t>
  </si>
  <si>
    <t xml:space="preserve">dlažba keramická hutná reliéfní do interiéru přes 19 do 22ks/m2 </t>
  </si>
  <si>
    <t xml:space="preserve">Podlahy spárování silikonem </t>
  </si>
  <si>
    <t>Montáž soklů z dlaždic keramických rovných flexibilní lepidlo v přes 90 do 120 mm</t>
  </si>
  <si>
    <t>sokl z materiálu dlažby velkoformát, řezáno vodním paprskem</t>
  </si>
  <si>
    <t>597.R001</t>
  </si>
  <si>
    <t xml:space="preserve">Nátěr penetrační na podlahu </t>
  </si>
  <si>
    <t xml:space="preserve">Pastování a leštění podlahovin ručně </t>
  </si>
  <si>
    <t xml:space="preserve">    777 - Podlahy lité</t>
  </si>
  <si>
    <t xml:space="preserve">Krycí epoxidový průmyslový nátěr podlahy </t>
  </si>
  <si>
    <t xml:space="preserve">Tuhé napojení lité podlahy na stěnu nebo sokl </t>
  </si>
  <si>
    <t xml:space="preserve">Montáž obkladů vnitřních keramických hladkých přes 22 do 25 ks/m2 lepených flexibilním lepidlem </t>
  </si>
  <si>
    <t xml:space="preserve">obklad keramický reliéfní pro interiér přes 22 do 25ks/m2 </t>
  </si>
  <si>
    <t xml:space="preserve">    772 - Podlahy kamenné</t>
  </si>
  <si>
    <t>Dlažby z kamene oprava - očištění dlažby z kamene tryskáním pískem</t>
  </si>
  <si>
    <t xml:space="preserve">Dlažby z kamene oprava - očištění dlažby z kamene vysátím </t>
  </si>
  <si>
    <t xml:space="preserve">Dlažby z kamene oprava - nátěr impregnační a zpevňující </t>
  </si>
  <si>
    <t xml:space="preserve">772591923 </t>
  </si>
  <si>
    <t xml:space="preserve">Dlažby z kamene oprava - nátěr uzavírací transparentní </t>
  </si>
  <si>
    <t xml:space="preserve"> =1,7*2*hmotnost</t>
  </si>
  <si>
    <t>odkaz a výpočet</t>
  </si>
  <si>
    <t xml:space="preserve"> =4</t>
  </si>
  <si>
    <t>odkaz a vzorec</t>
  </si>
  <si>
    <t>Venkovní objekty, plochy a oplocení</t>
  </si>
  <si>
    <t>skladba E.1</t>
  </si>
  <si>
    <t>Kladení betonové dlažby komunikací pro pěší do lože z kameniva velikosti přes 0,09 do 0,25 m2 pl do 50 m2</t>
  </si>
  <si>
    <t>Rozprostření ornice tl vrstvy přes 250 do 300 mm v rovině nebo ve svahu do 1:5 ručně</t>
  </si>
  <si>
    <t>zelené plochy</t>
  </si>
  <si>
    <t>dovoz nakupované zeminy</t>
  </si>
  <si>
    <t>množství nakupované zeminy x 35 - 10 km</t>
  </si>
  <si>
    <t>naložení ornice pro přesun na stavbu</t>
  </si>
  <si>
    <t xml:space="preserve">zemina pro terénní úpravy - ornice </t>
  </si>
  <si>
    <t>nákup ornice</t>
  </si>
  <si>
    <t>Založení parterového trávníku výsevem pl do 1000 m2 v rovině a ve svahu do 1:5</t>
  </si>
  <si>
    <t>00572420</t>
  </si>
  <si>
    <t xml:space="preserve">osivo směs travní parková okrasná </t>
  </si>
  <si>
    <t>Montáž vázaných kcí krovů pravidelných z hraněného řeziva průřezové pl přes 120 do 224 cm2</t>
  </si>
  <si>
    <t>skladba S.5</t>
  </si>
  <si>
    <t>Výrobky a specifikace</t>
  </si>
  <si>
    <t>O.1</t>
  </si>
  <si>
    <t>O.2</t>
  </si>
  <si>
    <t>O.3</t>
  </si>
  <si>
    <t>O.4</t>
  </si>
  <si>
    <t>O.5</t>
  </si>
  <si>
    <t>O.6</t>
  </si>
  <si>
    <t>D.1</t>
  </si>
  <si>
    <t>D.2</t>
  </si>
  <si>
    <t>D.3</t>
  </si>
  <si>
    <t>D.4</t>
  </si>
  <si>
    <t>D.5</t>
  </si>
  <si>
    <t>K.1</t>
  </si>
  <si>
    <t>K.2</t>
  </si>
  <si>
    <t>K.3</t>
  </si>
  <si>
    <t>K.4</t>
  </si>
  <si>
    <t>Z.1</t>
  </si>
  <si>
    <t>Z.3</t>
  </si>
  <si>
    <t>20x2.2 PP-RTC EVO</t>
  </si>
  <si>
    <t>25x2.3 PP-RTC EVO</t>
  </si>
  <si>
    <t>32x2.9 PP-RTC EVO</t>
  </si>
  <si>
    <t>22x10 PE návleky pouzdro</t>
  </si>
  <si>
    <t>28x10 PE návleky pouzdro</t>
  </si>
  <si>
    <t>35x10 PE návleky pouzdro</t>
  </si>
  <si>
    <t>Dřezy kuchyňské - dodávka kuchyně</t>
  </si>
  <si>
    <t>Bourací práce, průrazy, drážkování, atd. ..</t>
  </si>
  <si>
    <t>Úklid pro provedený bouracích a zednických pracech</t>
  </si>
  <si>
    <t>Manipulace a doprava s vešlerým materiálem</t>
  </si>
  <si>
    <t>Tlaková zkouška</t>
  </si>
  <si>
    <t>Kompletní uvedení do provozu</t>
  </si>
  <si>
    <t>Fotodokumentace - podrobná ( postup prací )</t>
  </si>
  <si>
    <t xml:space="preserve">Dokumentace skutečného provedení trubních rozvodů </t>
  </si>
  <si>
    <t>paré</t>
  </si>
  <si>
    <t>Hrubé zednické začištění drážek a průrazů pro potrubí</t>
  </si>
  <si>
    <t>Tvarovky pro potrubí 20</t>
  </si>
  <si>
    <t>Tvarovky pro potrubí 25</t>
  </si>
  <si>
    <t>Tvarovky pro potrubí 32</t>
  </si>
  <si>
    <t>Proplach a dezinfekce potrubí domovního vodovodu</t>
  </si>
  <si>
    <t>Zkouška těsnosti</t>
  </si>
  <si>
    <t>Zemní práce - výkop + lože + zásyp</t>
  </si>
  <si>
    <t>8) Splašková kanalizace v objektu – standardní (polypropylen)</t>
  </si>
  <si>
    <t>Koleno 32 87o HT</t>
  </si>
  <si>
    <t>Redukce 75/50 HT</t>
  </si>
  <si>
    <t>9) Upevnění potrubí</t>
  </si>
  <si>
    <t>10) Prvky pro přivzdušnění potrubí</t>
  </si>
  <si>
    <t>Přivzdušňovací ventil 50-75 HL905N</t>
  </si>
  <si>
    <t>Kryt přivzdušňovacího ventilu bílý 125x125 HL905.1</t>
  </si>
  <si>
    <t>D.1.4.1 - ZTI vodovod</t>
  </si>
  <si>
    <t>D.1.4.1 - ZTI kanalizace</t>
  </si>
  <si>
    <t>D.1.4.2 - plynovod</t>
  </si>
  <si>
    <t>1) Potrubí – svařovaná ocel</t>
  </si>
  <si>
    <t>DN32 (42,4x3,25) mat 11 353</t>
  </si>
  <si>
    <t>2) Upevnění potrubí - svařovaná ocel</t>
  </si>
  <si>
    <t>Objímka kovová (pro DN 32) 40-46</t>
  </si>
  <si>
    <t>Vrut pro objímku, 120mm M 8 pozink</t>
  </si>
  <si>
    <t>Průrazy včetně chrániček</t>
  </si>
  <si>
    <t>Revize plynu</t>
  </si>
  <si>
    <t>D.1.4.4  - Ústřední vytápění</t>
  </si>
  <si>
    <t>Zařízení, zdroje, aparáty, regulace</t>
  </si>
  <si>
    <t>Trubka DN 80/125 mm, délka 0,5 m</t>
  </si>
  <si>
    <t>Expanze</t>
  </si>
  <si>
    <t>2.1.1</t>
  </si>
  <si>
    <t>2.1.2</t>
  </si>
  <si>
    <t>Úprava vody</t>
  </si>
  <si>
    <t>Sada pro plnění soustavy UT</t>
  </si>
  <si>
    <t>Fillsoft II (bez náplně) FS</t>
  </si>
  <si>
    <t>Náplň pro Fillsoft demineralizaci 3000 x odH (Al-xx vým.) FS</t>
  </si>
  <si>
    <t>Fillguard Mini – měření vodivosti FG</t>
  </si>
  <si>
    <t>5.1.1</t>
  </si>
  <si>
    <t>Oběhová čerpadla</t>
  </si>
  <si>
    <t>Šroubení k čerpadlu DN25, 1“x6/4“, mosaz OČ1</t>
  </si>
  <si>
    <t>15x1 měď polotvrdá R250</t>
  </si>
  <si>
    <t>18x1 měď polotvrdá R250</t>
  </si>
  <si>
    <t>22x1 měď polotvrdá R250</t>
  </si>
  <si>
    <t>28x1 měď tvrdá R290</t>
  </si>
  <si>
    <t>Potrubí – měď KTO International</t>
  </si>
  <si>
    <t>7.1.1</t>
  </si>
  <si>
    <t>Objímka (pro 18x1) kovová 17-19</t>
  </si>
  <si>
    <t>9.6</t>
  </si>
  <si>
    <t>10.2</t>
  </si>
  <si>
    <t>Vekolux šroubení vypouštěcí přímé Rp1/2</t>
  </si>
  <si>
    <t>Plastová krytka šroubení bílá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</si>
  <si>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</si>
  <si>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</si>
  <si>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</si>
  <si>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</si>
  <si>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</si>
  <si>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</si>
  <si>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</si>
  <si>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</si>
  <si>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</si>
  <si>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13</t>
  </si>
  <si>
    <t>13.1</t>
  </si>
  <si>
    <t>Zprovoznění a komplexní vyzkoušení zařízení</t>
  </si>
  <si>
    <t>Dokumentace skutečného provedení</t>
  </si>
  <si>
    <t>Zaškolení obsluhy</t>
  </si>
  <si>
    <t>14</t>
  </si>
  <si>
    <t>14.1</t>
  </si>
  <si>
    <t>14.4</t>
  </si>
  <si>
    <t>14.7</t>
  </si>
  <si>
    <t>14.8</t>
  </si>
  <si>
    <t>14.10</t>
  </si>
  <si>
    <t>hod</t>
  </si>
  <si>
    <t>Topná zkouška včetně protokolu</t>
  </si>
  <si>
    <t>Tvarovky pro potrubí 15x1</t>
  </si>
  <si>
    <t>Tvarovky pro potrubí 18x1</t>
  </si>
  <si>
    <t>Tvarovky pro potrubí 22x1</t>
  </si>
  <si>
    <t>Tvarovky pro potrubí 28x1</t>
  </si>
  <si>
    <t>2.7</t>
  </si>
  <si>
    <t>Revize elektro silnoproud</t>
  </si>
  <si>
    <t>CYA 25</t>
  </si>
  <si>
    <t>7.3</t>
  </si>
  <si>
    <t>7.4</t>
  </si>
  <si>
    <t>7.5</t>
  </si>
  <si>
    <t>7.6</t>
  </si>
  <si>
    <t>Hromosvod</t>
  </si>
  <si>
    <t>Stavební úpravy, vestavba a přístavba stávajícího objektu</t>
  </si>
  <si>
    <t>Mírové náměstí 23/12, Bílina - p.č. 124, 125/1, 125/2, 125/3, k.ú. Bílina (604208)</t>
  </si>
  <si>
    <t>město Bílina</t>
  </si>
  <si>
    <t>Demolice budov zděných na MVC podíl konstrukcí přes 15 do 20 % těžkou mechanizací</t>
  </si>
  <si>
    <t>nízká přístavba</t>
  </si>
  <si>
    <t>zvýšené přístavby</t>
  </si>
  <si>
    <t>1.NP - komplet podlahy bourané objekty</t>
  </si>
  <si>
    <t>1.NP - komplet podlahy skladba P.2</t>
  </si>
  <si>
    <t>1.NP - komplet podlahy skladba P.3</t>
  </si>
  <si>
    <t>1.NP - demolice P</t>
  </si>
  <si>
    <t>1.NP - demolice Ps</t>
  </si>
  <si>
    <t>bourání sokl</t>
  </si>
  <si>
    <t>bourání opěrná zídka</t>
  </si>
  <si>
    <t xml:space="preserve">Bourání základů cihelných na MC </t>
  </si>
  <si>
    <t>základy přístavby</t>
  </si>
  <si>
    <t>základy opěrná zídka</t>
  </si>
  <si>
    <t>zdivo u HUP</t>
  </si>
  <si>
    <t>základ u HUP</t>
  </si>
  <si>
    <t>zdivo 1.NP - bourání a ubourání</t>
  </si>
  <si>
    <t>venkovní nika</t>
  </si>
  <si>
    <t>zdivo 2.NP - bourání a ubourání</t>
  </si>
  <si>
    <t>zdivo 3.NP - bourání a ubourání</t>
  </si>
  <si>
    <t>1.NP bar</t>
  </si>
  <si>
    <t>1.NP hospoda</t>
  </si>
  <si>
    <t>venkovní schodiště</t>
  </si>
  <si>
    <t>zdivo oplocení</t>
  </si>
  <si>
    <t>venkovní zdivo</t>
  </si>
  <si>
    <t>965081113.R001</t>
  </si>
  <si>
    <t>Bourání dlažby z dlaždic půdních plochy přes 1 m2 k dalšímu použití</t>
  </si>
  <si>
    <t>bourání bod Pt</t>
  </si>
  <si>
    <t xml:space="preserve">Bourání příček ze skleněných tvárnic tl do 100 mm </t>
  </si>
  <si>
    <t>luxfery 1.NP</t>
  </si>
  <si>
    <t>luxfery 2.NP</t>
  </si>
  <si>
    <t>Vybourání dřevěných rámů oken jednoduchých včetně křídel pl přes 4 m2</t>
  </si>
  <si>
    <t>Sanace</t>
  </si>
  <si>
    <t xml:space="preserve">975043121 </t>
  </si>
  <si>
    <t xml:space="preserve">Jednořadové podchycení stropů pro osazení nosníků v do 3,5 m pro zatížení přes 750 do 1000 kg/m </t>
  </si>
  <si>
    <t xml:space="preserve">Otlučení (osekání) vnitřní vápenné nebo vápenocementové omítky stropů v rozsahu přes 30 do 50 % </t>
  </si>
  <si>
    <t>strop 1.NP</t>
  </si>
  <si>
    <t>strop 2.NP</t>
  </si>
  <si>
    <t>strop mezipatro 2.NP</t>
  </si>
  <si>
    <t xml:space="preserve">Otlučení (osekání) vnitřní vápenné nebo vápenocementové omítky stěn v rozsahu přes 30 do 50 % </t>
  </si>
  <si>
    <t>stěny 1.NP</t>
  </si>
  <si>
    <t>stěny 2.NP</t>
  </si>
  <si>
    <t>stěny mezipatro 2.NP</t>
  </si>
  <si>
    <t xml:space="preserve">Bourání příček z cihel pálených na MVC tl do 150 mm </t>
  </si>
  <si>
    <t>příčky 1.NP</t>
  </si>
  <si>
    <t>příčky 2.NP</t>
  </si>
  <si>
    <t xml:space="preserve">963012520 </t>
  </si>
  <si>
    <t>Bourání stropů z ŽB desek š přes 300 mm tl přes 140 mm</t>
  </si>
  <si>
    <t>3.NP desky balkon</t>
  </si>
  <si>
    <t>3.NP otvory strop</t>
  </si>
  <si>
    <t xml:space="preserve">965081323 </t>
  </si>
  <si>
    <t xml:space="preserve">Bourání podlah z dlaždic betonových, teracových nebo čedičových tl do 25 mm plochy přes 1 m2 </t>
  </si>
  <si>
    <t xml:space="preserve">Demontáž pisoárových stání bez nádrže a jedním záchodkem </t>
  </si>
  <si>
    <t xml:space="preserve">965082933 </t>
  </si>
  <si>
    <t xml:space="preserve">Odstranění násypů pod podlahami tl do 200 mm pl přes 2 m2 </t>
  </si>
  <si>
    <t>2.NP mezipatro P6</t>
  </si>
  <si>
    <t>Demontáž SDK podhledu s dvouvrstvou nosnou kcí z ocelových profilů opláštění jednoduché</t>
  </si>
  <si>
    <t>1.NP podhled</t>
  </si>
  <si>
    <t>vzorec pro 30km</t>
  </si>
  <si>
    <t>otvor u výtahu</t>
  </si>
  <si>
    <t xml:space="preserve">Demontáž laťování střech z latí osové vzdálenosti přes 0,50 m </t>
  </si>
  <si>
    <t>Demontáž vázaných kcí krovů z hranolů průřezové pl přes 120 do 224 cm2</t>
  </si>
  <si>
    <t>krokev</t>
  </si>
  <si>
    <t>pozednice</t>
  </si>
  <si>
    <t>vyčištění dispozice 3.NP</t>
  </si>
  <si>
    <t>sloupky, pásky apod</t>
  </si>
  <si>
    <t xml:space="preserve">Demontáž vázaných kcí krovů z hranolů průřezové pl přes 288 do 450 cm2 </t>
  </si>
  <si>
    <t xml:space="preserve">Odstranění tepelné izolace střech šikmých volně kladené mezi krokve z vláknitých materiálů suchých tl přes 100 mm </t>
  </si>
  <si>
    <t xml:space="preserve">Lože pro trativody z betonu prostého </t>
  </si>
  <si>
    <t>spádový beton na dně výkopu</t>
  </si>
  <si>
    <t>odvětrací kanál</t>
  </si>
  <si>
    <t>zásyp odvětrací kanál</t>
  </si>
  <si>
    <t xml:space="preserve">    9.1 - Ostatní konstrukce a práce, bourání</t>
  </si>
  <si>
    <t xml:space="preserve">    9.2 - Sanace</t>
  </si>
  <si>
    <t>Rozebrání dlažeb z mozaiky komunikací pro pěší ručně</t>
  </si>
  <si>
    <t>rozebrání chodník</t>
  </si>
  <si>
    <t>Rozebrání dlažeb ze zámkových dlaždic komunikací pro pěší ručně</t>
  </si>
  <si>
    <t>rozebrání proluka</t>
  </si>
  <si>
    <t xml:space="preserve">Odstranění podkladu z kameniva těženého tl přes 200 do 300 mm ručně </t>
  </si>
  <si>
    <t>Podklad ze štěrkodrtě ŠD plochy do 100 m2 tl 200 mm</t>
  </si>
  <si>
    <t xml:space="preserve">Kladení dlažby z mozaiky jednobarevné komunikací pro pěší lože z kameniva </t>
  </si>
  <si>
    <t xml:space="preserve">Kladení zámkové dlažby komunikací pro pěší ručně tl 60 mm skupiny A pl do 50 m2 </t>
  </si>
  <si>
    <t>SE1</t>
  </si>
  <si>
    <t>Svislá hydroizolace podzemního zdiva v exteriéru</t>
  </si>
  <si>
    <t>obvodové zdivo</t>
  </si>
  <si>
    <t>základové zdivo</t>
  </si>
  <si>
    <t xml:space="preserve">Otlučení (osekání) vnitřní vápenné nebo vápenocementové omítky stropů v rozsahu přes 50 do 100 % </t>
  </si>
  <si>
    <t>stěny sklep</t>
  </si>
  <si>
    <t>klenby sklep</t>
  </si>
  <si>
    <t>vnitřní zdivo</t>
  </si>
  <si>
    <t>vnitřní klenby</t>
  </si>
  <si>
    <t>prostupy odvětrání</t>
  </si>
  <si>
    <t xml:space="preserve">974031164 </t>
  </si>
  <si>
    <t xml:space="preserve">Vysekání rýh ve zdivu cihelném hl do 150 mm š do 150 mm </t>
  </si>
  <si>
    <t>drážky pro odvětrání na fasádu</t>
  </si>
  <si>
    <t xml:space="preserve">977151121 </t>
  </si>
  <si>
    <t>Jádrové vrty diamantovými korunkami do stavebních materiálů D přes 110 do 120 mm</t>
  </si>
  <si>
    <t>Ruční dočištění ploch stěn, rubu kleneb a podlah ocelových kartáči</t>
  </si>
  <si>
    <t xml:space="preserve">Reprofilace stěn cementovou sanační maltou tl přes 10 do 20 mm </t>
  </si>
  <si>
    <t>spádový podkladní beton</t>
  </si>
  <si>
    <t xml:space="preserve">Provedení těsnícího pásu do spoje dilatační nebo styčné spáry podlaha - stěna </t>
  </si>
  <si>
    <t>stěna - beton</t>
  </si>
  <si>
    <t>rohy a kouty</t>
  </si>
  <si>
    <t>materiál stěrka</t>
  </si>
  <si>
    <t xml:space="preserve">59054220 </t>
  </si>
  <si>
    <t>páska pružná těsnící hydroizolační š 185mm</t>
  </si>
  <si>
    <t>dvě vrsty + 10% nadspotřeba</t>
  </si>
  <si>
    <t>10% přesahy a nadspotřeba</t>
  </si>
  <si>
    <t xml:space="preserve">713131141 </t>
  </si>
  <si>
    <t>Montáž izolace tepelné stěn a základů lepením celoplošně rohoží, pásů, dílců, desek</t>
  </si>
  <si>
    <t>stěna</t>
  </si>
  <si>
    <t xml:space="preserve">28376440 </t>
  </si>
  <si>
    <t xml:space="preserve">deska XPS hrana rovná a strukturovaný povrch 300kPa tl 50mm </t>
  </si>
  <si>
    <t xml:space="preserve">11163004 </t>
  </si>
  <si>
    <t xml:space="preserve">stěrka hydroizolační asfaltová jednosložková s přídavkem plastů do spodní stavby </t>
  </si>
  <si>
    <t>SE2</t>
  </si>
  <si>
    <t>Svislá hydroizolace minerální stěrkou v exteriéru</t>
  </si>
  <si>
    <t>Izolace proti zemní vlhkosti nopovou fólií s textilií vodorovná, nopek v 8,0 mm, tl do 0,6 mm</t>
  </si>
  <si>
    <t>Izolace proti zemní vlhkosti nopovou fólií s textilií svislá, nopek v 8,0 mm, tl do 0,6 mm</t>
  </si>
  <si>
    <t xml:space="preserve">711161384 </t>
  </si>
  <si>
    <t>Izolace proti zemní vlhkosti nopovou fólií ukončení provětrávací lištou</t>
  </si>
  <si>
    <t>111.R001</t>
  </si>
  <si>
    <t>silikátová hydroizolační stěrka</t>
  </si>
  <si>
    <t>Skladba sanačního omítkového souvrství v exteriéru do v=0,8m</t>
  </si>
  <si>
    <t>SE3a</t>
  </si>
  <si>
    <t xml:space="preserve">Provedení penetračního nátěru lícového zdiva </t>
  </si>
  <si>
    <t>111R002</t>
  </si>
  <si>
    <t>protisolný nátěr</t>
  </si>
  <si>
    <t>l</t>
  </si>
  <si>
    <t xml:space="preserve">Potažení vnějších stěn sklovláknitým pletivem </t>
  </si>
  <si>
    <t>SE3b</t>
  </si>
  <si>
    <t>Příplatek k sanační jednovrstvé omítce vnějších stěn za každých dalších 5 mm tloušťky přes 20 mm ručně</t>
  </si>
  <si>
    <t xml:space="preserve">Sanační tepelněizolační omítka vnějších stěn nanášená ručně </t>
  </si>
  <si>
    <t>do celkové tl. 25mm</t>
  </si>
  <si>
    <t xml:space="preserve">Příplatek k sanační tepelněizolační omítce vnějších stěn za každých dalších 5 mm tloušťky přes 15 mm ručně </t>
  </si>
  <si>
    <t>SI1</t>
  </si>
  <si>
    <t>Skladba prostého sanačního omítkového souvrství v interiéru</t>
  </si>
  <si>
    <t>SI2</t>
  </si>
  <si>
    <t>Skladba režného zdiva v interieru</t>
  </si>
  <si>
    <t xml:space="preserve">Provedení krycího dvojnásobného nátěru lícového zdiva </t>
  </si>
  <si>
    <t>dvě vrstvy</t>
  </si>
  <si>
    <t xml:space="preserve">24551000 </t>
  </si>
  <si>
    <t xml:space="preserve">nátěr penetrační mineralizační hloubkový </t>
  </si>
  <si>
    <t xml:space="preserve">Sanační omítka tepelněizolační vnitřních stěn nanášená ručně </t>
  </si>
  <si>
    <t xml:space="preserve">Příplatek k sananční tepelněizolační omítce vnitřních stěn za každých dalších 5 mm tloušťky přes 20 mm ručně </t>
  </si>
  <si>
    <t xml:space="preserve">Potažení vnitřních stěn sanačním štukem tloušťky do 3 mm </t>
  </si>
  <si>
    <t>SI4</t>
  </si>
  <si>
    <t>Skladba podlahy s provětrávanou dutinou - pouze sanační vrstvy</t>
  </si>
  <si>
    <t>Zřízení vrstvy z geotextilie v rovině nebo ve sklonu do 1:5 š do 3 m</t>
  </si>
  <si>
    <t>plocha</t>
  </si>
  <si>
    <t xml:space="preserve">69311068 </t>
  </si>
  <si>
    <t xml:space="preserve">Násyp pod podlahy z hrubého kameniva 16-32 s udusáním </t>
  </si>
  <si>
    <t xml:space="preserve">711211134 </t>
  </si>
  <si>
    <t>Izolace proti zemní vlhkosti a radonu provětrávaná z plastových segmentů v přes 100 do 150 mm se zabetonováním</t>
  </si>
  <si>
    <t xml:space="preserve">Mazanina tl přes 50 do 80 mm z betonu prostého bez zvýšených nároků na prostředí tř. C 16/20 </t>
  </si>
  <si>
    <t>nabetonávka</t>
  </si>
  <si>
    <t>výztuž KARI 150/150/6</t>
  </si>
  <si>
    <t>stěrka hydroizolační dvousložková cemento-polymerová vlákny vyztužená proti zemní vlhkosti</t>
  </si>
  <si>
    <t>svislé vytažení 150mm</t>
  </si>
  <si>
    <t>podlaha</t>
  </si>
  <si>
    <t>Odvětrávací potrubí</t>
  </si>
  <si>
    <t xml:space="preserve">953731213 </t>
  </si>
  <si>
    <t xml:space="preserve">Odvětrání svislé troubami plastovými DN přes 80 do 110 mm ve ventilační šachtě včetně zakotvení </t>
  </si>
  <si>
    <t>viz řez B-B´ sanace</t>
  </si>
  <si>
    <t>stoupací potrubí odvětrání</t>
  </si>
  <si>
    <t>Odvětrání vodorovné plastovými troubami DN přes 80 do 110 mm ukládanými na sraz</t>
  </si>
  <si>
    <t>prostupy</t>
  </si>
  <si>
    <t>větrací přívod</t>
  </si>
  <si>
    <t>větrací odtah</t>
  </si>
  <si>
    <t xml:space="preserve">644941111 </t>
  </si>
  <si>
    <t xml:space="preserve">Osazování ventilačních mřížek velikosti do 150 x 200 mm </t>
  </si>
  <si>
    <t>větrací mřížky</t>
  </si>
  <si>
    <t xml:space="preserve">Odvětrání svislé - montáž větrací hlavice plastové DN do 160 mm </t>
  </si>
  <si>
    <t>553495.R001</t>
  </si>
  <si>
    <t>429728.R001</t>
  </si>
  <si>
    <t xml:space="preserve">Hrubá výplň rýh ve stěnách maltou jakékoli šířky rýhy </t>
  </si>
  <si>
    <t>Difuzně otevřená skladba podlahy</t>
  </si>
  <si>
    <t>základové pasy přístavba</t>
  </si>
  <si>
    <t>základové pasy doplnění základů u výtahové šachty</t>
  </si>
  <si>
    <t xml:space="preserve"> =111,7</t>
  </si>
  <si>
    <t xml:space="preserve"> =(3,8+4,8+7,9)*2*0,5*0,7+(4,7*4+19,7)*0,7*0,7+2,5*1,2*0,7</t>
  </si>
  <si>
    <t xml:space="preserve"> =(6,7+6,65)*0,7*0,67+(0,5*0,2*0,7)</t>
  </si>
  <si>
    <t xml:space="preserve"> =1,9*0,7*0,7</t>
  </si>
  <si>
    <t xml:space="preserve"> =1,1*2,2+1*2+(4+1,1*3+2,6+1,1*2+1,8)*3+1,3*2,1+0,4*2,3</t>
  </si>
  <si>
    <t xml:space="preserve"> =1*2,2+4*2,8+5,3*3,4+1,3*2,8+0,4*3,4</t>
  </si>
  <si>
    <t xml:space="preserve"> =0,19*(8,3+0,83)</t>
  </si>
  <si>
    <t xml:space="preserve"> =0,915*1,65*0,25</t>
  </si>
  <si>
    <t xml:space="preserve"> =4*0,9*0,25</t>
  </si>
  <si>
    <t xml:space="preserve"> =1,4*1,9*0,7</t>
  </si>
  <si>
    <t xml:space="preserve"> =1,1*1,08*1,12+1*0,75*0,52+1*0,75*0,25+2,85*0,35*0,2</t>
  </si>
  <si>
    <t xml:space="preserve"> =1,5*2,25*0,3+0,35*0,35*1,6+(0,8+0,2)*0,7*3,38+0,1*0,2*2,225*2*2+1*2,2*0,25+3,1*3,26*0,2</t>
  </si>
  <si>
    <t xml:space="preserve"> =1*1,4*2</t>
  </si>
  <si>
    <t xml:space="preserve"> =1*1,2*3+1*1,6*2</t>
  </si>
  <si>
    <t xml:space="preserve"> =3,45*2*tloušťka</t>
  </si>
  <si>
    <t xml:space="preserve"> =(1,2*0,6+1*0,5)*tloušťka</t>
  </si>
  <si>
    <t xml:space="preserve"> =2,6*2</t>
  </si>
  <si>
    <t xml:space="preserve"> =2*3</t>
  </si>
  <si>
    <t xml:space="preserve"> =1,6*2</t>
  </si>
  <si>
    <t xml:space="preserve"> =142,9*tloušťka</t>
  </si>
  <si>
    <t xml:space="preserve"> =(22,76+27,72+40,52)*tloušťka</t>
  </si>
  <si>
    <t xml:space="preserve"> =(20+15,1+30,61+4,95+2,28+23,93+28,19+18,07)*tloušťka</t>
  </si>
  <si>
    <t xml:space="preserve"> =19,26</t>
  </si>
  <si>
    <t xml:space="preserve"> =4,54+25,32+12,67</t>
  </si>
  <si>
    <t xml:space="preserve"> =(22,76+27,72+40,52)*(E155-E148)+(20+15,1+30,61+4,95+2,28)*tloušťka</t>
  </si>
  <si>
    <t xml:space="preserve"> =(6,86+11,21)*tloušťka</t>
  </si>
  <si>
    <t xml:space="preserve"> =(12,67)*tloušťka</t>
  </si>
  <si>
    <t xml:space="preserve"> =1,1*1,6</t>
  </si>
  <si>
    <t xml:space="preserve"> =1,15*1,111*12+1,11*1,415*2+1,111*1,25*2</t>
  </si>
  <si>
    <t xml:space="preserve"> =1,1*2,4+1,7*1,65*2+1,6*2+1,6*2,2*2</t>
  </si>
  <si>
    <t xml:space="preserve"> =0,96*2,28*2+0,96*2,4*2</t>
  </si>
  <si>
    <t xml:space="preserve"> =2,58*1,92+2,96*2,45*2</t>
  </si>
  <si>
    <t xml:space="preserve"> =1,85*2+1,85*2+1,3*2+3,5*4+1,3*2</t>
  </si>
  <si>
    <t xml:space="preserve"> =2*výška</t>
  </si>
  <si>
    <t xml:space="preserve"> =80,02-14,25+102,21+30,61+62,21-6,91</t>
  </si>
  <si>
    <t xml:space="preserve"> =43,92+156,64+80,64</t>
  </si>
  <si>
    <t xml:space="preserve"> =9,9</t>
  </si>
  <si>
    <t xml:space="preserve"> =(6,66+3,62)*2*3,8+(4,57+6,66)*2*3,8+(4,9+3,7+1,3)*2*3,77+(5,9+3,7+4,7+5,9+6,1+6,6+6,3+3,2+5,6+5,4+4+2,5)*2*3</t>
  </si>
  <si>
    <t xml:space="preserve"> =(5,1+5,6+2,95+5,8+5,8+3,8+11,3+1,1)*2*2,76+(4,5+5,1+5+5,2+6,9+6,3+6+3,5+5,9+5,7+3,6+4,1+7,8+1,1)*2*3,38+(3,1+4,2)*2*3,26</t>
  </si>
  <si>
    <t xml:space="preserve"> =(4,2+2,6)*2*2,2</t>
  </si>
  <si>
    <t xml:space="preserve"> =(2,1+1,4+1,1+1,1+1,5+1,3+1,4+1,3+1,5)*2</t>
  </si>
  <si>
    <t xml:space="preserve"> =142,9*3,9</t>
  </si>
  <si>
    <t xml:space="preserve"> =(2,7*1,8+2,1*1,4)*2,3</t>
  </si>
  <si>
    <t xml:space="preserve"> =4*2,2</t>
  </si>
  <si>
    <t xml:space="preserve"> =27,26+17,17+22,69+23,2+26,64+43,31+24,54+34+7,87+4,36</t>
  </si>
  <si>
    <t xml:space="preserve"> =27,72</t>
  </si>
  <si>
    <t xml:space="preserve"> =(22,76+27,72+40,52)</t>
  </si>
  <si>
    <t xml:space="preserve"> =(20+15,1+30,61+4,95+2,28+23,93+28,19+18,07)</t>
  </si>
  <si>
    <t xml:space="preserve"> =(33,8+20,9)*0,7*hloubka</t>
  </si>
  <si>
    <t xml:space="preserve"> =(9,6+3,6)*0,7*hloubka</t>
  </si>
  <si>
    <t xml:space="preserve"> =(13,8+7,9)*0,7*hloubka</t>
  </si>
  <si>
    <t xml:space="preserve"> =17,4*hloubka</t>
  </si>
  <si>
    <t xml:space="preserve"> =(22,76+27,72+40,52)*(E123-E115)+(20+15,1+30,61+4,95+2,28)*tloušťka</t>
  </si>
  <si>
    <t xml:space="preserve"> =(33,8+20,9+9,6+3,6+13,8+7,9)*0,7* plocha řezu</t>
  </si>
  <si>
    <t xml:space="preserve"> =(33,8+20,9)*0,7</t>
  </si>
  <si>
    <t xml:space="preserve"> =13,8*0,7</t>
  </si>
  <si>
    <t xml:space="preserve"> =6,86+11,21</t>
  </si>
  <si>
    <t xml:space="preserve"> =(2,6+4,3+4,2+1,4)*2*výška</t>
  </si>
  <si>
    <t xml:space="preserve"> =((6,66+3,62)*2+(4,57+6,66)*2+(4,9+3,7+1,3)*2+(5,9+3,7+4,7+5,9+6,1+6,6+6,3+3,2+5,6+5,4+4+2,5)*2)*výška</t>
  </si>
  <si>
    <t xml:space="preserve"> =(20,2+8,2+32,7+19+12,5+7,2)*výška</t>
  </si>
  <si>
    <t xml:space="preserve"> =20,2*0,7+(8,2+32,7+19)*0,5+(12,5+7,2)*(1,1+2)/2</t>
  </si>
  <si>
    <t xml:space="preserve"> =2*délka</t>
  </si>
  <si>
    <t xml:space="preserve"> =3*délka</t>
  </si>
  <si>
    <t xml:space="preserve"> =5*délka</t>
  </si>
  <si>
    <t xml:space="preserve"> =8*délka</t>
  </si>
  <si>
    <t xml:space="preserve"> =9*0,5</t>
  </si>
  <si>
    <t xml:space="preserve"> =9*0,5*šířka</t>
  </si>
  <si>
    <t xml:space="preserve"> =(12,3+7,6)*0,8</t>
  </si>
  <si>
    <t xml:space="preserve"> =(12,3+7,6)</t>
  </si>
  <si>
    <t xml:space="preserve"> =(1,1+2)/2*3</t>
  </si>
  <si>
    <t xml:space="preserve"> =(2,9+32,5+7,7+19,2)*0,8</t>
  </si>
  <si>
    <t xml:space="preserve"> =(2,9+32,5+7,7+19,2)</t>
  </si>
  <si>
    <t xml:space="preserve"> =8*0,4</t>
  </si>
  <si>
    <t xml:space="preserve"> =25*výška</t>
  </si>
  <si>
    <t xml:space="preserve"> =98*2</t>
  </si>
  <si>
    <t xml:space="preserve"> =9*2</t>
  </si>
  <si>
    <t xml:space="preserve"> =(6,66+3,62+6,66+4,57+3,7+6,66+3,9+5,87+5,87+4,73+6,61+6,12+6,26+3,2+5,4+5,58+3,98+3,28)*2</t>
  </si>
  <si>
    <t xml:space="preserve"> =11*délka</t>
  </si>
  <si>
    <t xml:space="preserve"> =1*14+0,5*4+2+7+8</t>
  </si>
  <si>
    <t xml:space="preserve"> =1+2+3</t>
  </si>
  <si>
    <t xml:space="preserve"> =9</t>
  </si>
  <si>
    <t xml:space="preserve"> =(3+0,5+0,5)*1,9*1</t>
  </si>
  <si>
    <t>Hloubení nezapažených jam v soudržných horninách třídy těžitelnosti I skupiny 3 ručně</t>
  </si>
  <si>
    <t>šachta dojezdu výtahu</t>
  </si>
  <si>
    <t xml:space="preserve">Hloubení nezapažených rýh šířky do 800 mm v soudržných horninách třídy těžitelnosti I skupiny 3 ručně </t>
  </si>
  <si>
    <t xml:space="preserve"> =(2,92+1)*(2,8+1+1)*(1,71+0,15)</t>
  </si>
  <si>
    <t xml:space="preserve"> =3*0,7*0,51</t>
  </si>
  <si>
    <t>komplet výkopy</t>
  </si>
  <si>
    <t>odpočet konstrukce</t>
  </si>
  <si>
    <t xml:space="preserve"> =(2*1+13,755*(0,6+1))*(1,41+0,15)</t>
  </si>
  <si>
    <t xml:space="preserve"> =((2*1+13,755*(0,6))*(1,41+0,15)+(2,92)*(2,8)*(1,71+0,15))*-1</t>
  </si>
  <si>
    <t>množství likvidovaného výkopku x 30 - 10 km</t>
  </si>
  <si>
    <t xml:space="preserve"> =2*3*výška</t>
  </si>
  <si>
    <t>výkop pro základovou desku</t>
  </si>
  <si>
    <t xml:space="preserve"> =1,225*16,66*hloubka</t>
  </si>
  <si>
    <t>Podsyp pod základové konstrukce se zhutněním z hrubého kameniva frakce 16 až 32 mm</t>
  </si>
  <si>
    <t>plocha základových pasů a jam</t>
  </si>
  <si>
    <t xml:space="preserve"> =(17,64*(1,38+0,6)+2,205*2,92)*tloušťka</t>
  </si>
  <si>
    <t>Základové pásy z betonu tř. C 25/30</t>
  </si>
  <si>
    <t>pas pod schodiště</t>
  </si>
  <si>
    <t>pas zdivo 1. stupeň</t>
  </si>
  <si>
    <t xml:space="preserve"> =1*(1,38+0,6)*0,7</t>
  </si>
  <si>
    <t xml:space="preserve"> =13,755*0,6*0,215</t>
  </si>
  <si>
    <t>základová deska přístavba</t>
  </si>
  <si>
    <t xml:space="preserve"> =(17,64-0,1)*(1,38+0,6-0,175)*0,125</t>
  </si>
  <si>
    <t>deska výtahová šachta</t>
  </si>
  <si>
    <t xml:space="preserve">273313711 </t>
  </si>
  <si>
    <t xml:space="preserve">Základové desky z betonu tř. C 20/25 </t>
  </si>
  <si>
    <t xml:space="preserve"> =2,5*2,75*0,1</t>
  </si>
  <si>
    <t xml:space="preserve"> =2,5*2,75*0,2</t>
  </si>
  <si>
    <t xml:space="preserve">Zřízení bednění základových desek </t>
  </si>
  <si>
    <t xml:space="preserve">273351122 </t>
  </si>
  <si>
    <t xml:space="preserve">Odstranění bednění základových desek </t>
  </si>
  <si>
    <t xml:space="preserve"> =((17,64-0,1)+(1,38+0,6-0,175))*0,125</t>
  </si>
  <si>
    <t xml:space="preserve"> =(2,5+2,75)*2*0,3</t>
  </si>
  <si>
    <t xml:space="preserve">Výztuž základových desek betonářskou ocelí 10 505 (R) </t>
  </si>
  <si>
    <t xml:space="preserve">273362021 </t>
  </si>
  <si>
    <t xml:space="preserve">Výztuž základových desek svařovanými sítěmi Kari </t>
  </si>
  <si>
    <t>pas zdivo 2. stupeň</t>
  </si>
  <si>
    <t xml:space="preserve"> =13,755*0,75</t>
  </si>
  <si>
    <t>stěny výtahová šachta</t>
  </si>
  <si>
    <t xml:space="preserve"> =(2,5+2,75)*2*1,1*tloušťka</t>
  </si>
  <si>
    <t xml:space="preserve">Zřízení oboustranného bednění základových zdí </t>
  </si>
  <si>
    <t xml:space="preserve"> =(2,5+2,75)*2*1,1*2</t>
  </si>
  <si>
    <t xml:space="preserve">279351122 </t>
  </si>
  <si>
    <t xml:space="preserve">Odstranění oboustranného bednění základových zdí </t>
  </si>
  <si>
    <t xml:space="preserve">Výztuž základových zdí nosných betonářskou ocelí 10 505 </t>
  </si>
  <si>
    <t>Kombinovaný těsnící PVC pás s bobtnavým profilem do pracovních spar betonových kcí š 150 mm</t>
  </si>
  <si>
    <t>odhad ztracené bednění</t>
  </si>
  <si>
    <t>odhad vodostavební beton</t>
  </si>
  <si>
    <t>styk deska - stěna šachta</t>
  </si>
  <si>
    <t xml:space="preserve"> =(2,5+2,75)*2</t>
  </si>
  <si>
    <t xml:space="preserve">Základové desky ze ŽB bez zvýšených nároků na prostředí tř. C 20/25 </t>
  </si>
  <si>
    <t xml:space="preserve">Základová zeď tl přes 200 do 250 mm z tvárnic ztraceného bednění včetně výplně z betonu tř. C 20/25 </t>
  </si>
  <si>
    <t>KARI 1x 100/100/6 + 20% přesahy</t>
  </si>
  <si>
    <t xml:space="preserve">Kotvy mechanické M 10 dl 110 mm pro střední zatížení do betonu, ŽB nebo kamene s vyvrtáním otvoru </t>
  </si>
  <si>
    <t>spojovací pruty se stávajícím základem</t>
  </si>
  <si>
    <t xml:space="preserve"> =3*4</t>
  </si>
  <si>
    <t>skladba P.1b</t>
  </si>
  <si>
    <t>skladba P.10</t>
  </si>
  <si>
    <t>skladba P.10a</t>
  </si>
  <si>
    <t xml:space="preserve">Provedení izolace proti zemní vlhkosti svislé za studena nátěrem penetračním </t>
  </si>
  <si>
    <t>základy přístavba</t>
  </si>
  <si>
    <t xml:space="preserve">Provedení izolace proti zemní vlhkosti pásy přitavením svislé NAIP </t>
  </si>
  <si>
    <t xml:space="preserve"> =13,755*(0,75+0,35+0,3)</t>
  </si>
  <si>
    <t>skladba P.10b</t>
  </si>
  <si>
    <t xml:space="preserve">Zdivo jednovrstvé zvukově izolační na cementovou maltu M10 z cihel děrovaných přes P15 do P20 tl 300 mm </t>
  </si>
  <si>
    <t>3.NP</t>
  </si>
  <si>
    <t xml:space="preserve"> =0,8*2+1,08*2,2</t>
  </si>
  <si>
    <t xml:space="preserve"> =(2,1+0,65)*2*2,9</t>
  </si>
  <si>
    <t>odpočet otvorů - 80% plochy</t>
  </si>
  <si>
    <t xml:space="preserve"> =1,87*2,76+2,5*2+(2,55+2,75)*2*3,75+1,17*2,1</t>
  </si>
  <si>
    <t xml:space="preserve"> =(2,55+2,75)*2*4,25+2,57*2,33</t>
  </si>
  <si>
    <t xml:space="preserve"> =(6,23*3+1,1*2,18+1*1,37+1,1+2,18*2+1,1*2,15+1,06*1,8)*koeficient</t>
  </si>
  <si>
    <t>Zazdívka otvorů pl přes 0,25 do 1 m2 ve zdivu nadzákladovém cihlami pálenými na MVC</t>
  </si>
  <si>
    <t xml:space="preserve">Překlad keramický vysoký v 238 mm dl 1250 mm </t>
  </si>
  <si>
    <t xml:space="preserve">Překlad keramický vysoký v 238 mm dl 1500 mm </t>
  </si>
  <si>
    <t xml:space="preserve">342244201 </t>
  </si>
  <si>
    <t xml:space="preserve">Příčka z cihel broušených na tenkovrstvou maltu tloušťky 80 mm </t>
  </si>
  <si>
    <t xml:space="preserve">Příčka z cihel broušených na tenkovrstvou maltu tloušťky 115 mm </t>
  </si>
  <si>
    <t xml:space="preserve">Příčka z cihel broušených na tenkovrstvou maltu tloušťky 140 mm </t>
  </si>
  <si>
    <t xml:space="preserve"> =(1,735+1,7+1,86)*3,77</t>
  </si>
  <si>
    <t xml:space="preserve"> =0,9*2,16</t>
  </si>
  <si>
    <t xml:space="preserve"> =(0,7*1,97*2)*koeficient</t>
  </si>
  <si>
    <t xml:space="preserve"> =(0,3*2+1,1)*2,1+0,9*2+1,86*3,77+(1,4*2+0,25)*2,1</t>
  </si>
  <si>
    <t xml:space="preserve"> =(0,7*1,97*(2+7))*koeficient</t>
  </si>
  <si>
    <t xml:space="preserve"> =0,6*2,15+1,06*3,11*2</t>
  </si>
  <si>
    <t xml:space="preserve">317168011 </t>
  </si>
  <si>
    <t xml:space="preserve">Překlad keramický plochý š 115 mm dl 1000 mm </t>
  </si>
  <si>
    <t xml:space="preserve">Překlad keramický plochý š 145 mm dl 1000 mm </t>
  </si>
  <si>
    <t xml:space="preserve">Překlad keramický plochý š 145 mm dl 1250 mm </t>
  </si>
  <si>
    <t xml:space="preserve"> =(6,66+1,7)*3,77+1*1,4+1,53*3,8+1,15*2,2+0,4*2,9+1,1*4+1,1*2,4</t>
  </si>
  <si>
    <t xml:space="preserve"> =(0,8*2,1*4+0,7*2,1)*koeficient</t>
  </si>
  <si>
    <t>L6/70/50</t>
  </si>
  <si>
    <t>IPE 140, 200</t>
  </si>
  <si>
    <t xml:space="preserve"> =1,3*2,8+0,8*2+0,95*1,9+1,06*3,38+0,55*1,11</t>
  </si>
  <si>
    <t xml:space="preserve">    4 - Vodorovné konstrukce</t>
  </si>
  <si>
    <t>osazení desky pavlače a schodiště</t>
  </si>
  <si>
    <t xml:space="preserve"> =18</t>
  </si>
  <si>
    <t>Stropy deskové ze ŽB tř. C 20/25</t>
  </si>
  <si>
    <t>deska pavlač</t>
  </si>
  <si>
    <t xml:space="preserve">413321515 </t>
  </si>
  <si>
    <t>Nosníky ze ŽB tř. C 20/25</t>
  </si>
  <si>
    <t>žebrový nosník desky</t>
  </si>
  <si>
    <t xml:space="preserve">Schodišťová konstrukce a rampa ze ŽB tř. C 20/25 </t>
  </si>
  <si>
    <t>deska pavlač - šikmá část</t>
  </si>
  <si>
    <t xml:space="preserve">Zřízení bednění stropů deskových tl přes 5 do 25 cm bez podpěrné kce </t>
  </si>
  <si>
    <t xml:space="preserve"> =(9,35+0,6)*(1,43+0,125+0,2)*tloušťka</t>
  </si>
  <si>
    <t xml:space="preserve"> =(0,4+4+3,75)*(1,43+0,125+0,2)*tloušťka</t>
  </si>
  <si>
    <t xml:space="preserve">411351012 </t>
  </si>
  <si>
    <t xml:space="preserve">Odstranění bednění stropů deskových tl přes 5 do 25 cm bez podpěrné kce </t>
  </si>
  <si>
    <t xml:space="preserve">Zřízení podpěrné konstrukce stropů výšky do 4 m tl přes 5 do 15 cm </t>
  </si>
  <si>
    <t xml:space="preserve">411354312 </t>
  </si>
  <si>
    <t xml:space="preserve">Odstranění podpěrné konstrukce stropů výšky do 4 m tl přes 5 do 15 cm </t>
  </si>
  <si>
    <t xml:space="preserve">Zřízení bednění nosníků a průvlaků bez podpěrné kce výšky do 100 cm </t>
  </si>
  <si>
    <t xml:space="preserve">413351112 </t>
  </si>
  <si>
    <t xml:space="preserve">Odstranění bednění nosníků a průvlaků bez podpěrné kce výšky do 100 cm </t>
  </si>
  <si>
    <t>Zřízení podpěrné konstrukce nosníků výšky podepření do 4 m pro nosník výšky do 100 cm</t>
  </si>
  <si>
    <t xml:space="preserve">413352112 </t>
  </si>
  <si>
    <t>Odstranění podpěrné konstrukce nosníků výšky podepření do 4 m pro nosník výšky do 100 cm</t>
  </si>
  <si>
    <t xml:space="preserve">Zřízení bednění podest schodišť a ramp přímočarých v do 4 m </t>
  </si>
  <si>
    <t xml:space="preserve">Odstranění bednění podest schodišť a ramp přímočarých v do 4 m </t>
  </si>
  <si>
    <t xml:space="preserve">Výztuž stropů betonářskou ocelí 10 505 </t>
  </si>
  <si>
    <t>Výztuž nosníků, volných trámů nebo průvlaků volných trámů betonářskou ocelí 10 505</t>
  </si>
  <si>
    <t xml:space="preserve">Výztuž schodišťové konstrukce a rampy betonářskou ocelí 10 505 </t>
  </si>
  <si>
    <t xml:space="preserve">Ztužující pásy a věnce ze ŽB tř. C 20/25 </t>
  </si>
  <si>
    <t>deska šachta výtah</t>
  </si>
  <si>
    <t xml:space="preserve"> =(2,5*2,75)*tloušťka</t>
  </si>
  <si>
    <t xml:space="preserve"> =(2,5*2,75)</t>
  </si>
  <si>
    <t>věnce výtahová šachta</t>
  </si>
  <si>
    <t xml:space="preserve"> =(9,35+0,6+0,4+4+3,75+1,43)*(0,7)*tloušťka</t>
  </si>
  <si>
    <t xml:space="preserve"> =(9,35+0,6)*(1,43+0,125+0,2)</t>
  </si>
  <si>
    <t xml:space="preserve"> =(9,35+0,6+0,4+4+3,75+1,43)*0,7*2</t>
  </si>
  <si>
    <t xml:space="preserve"> =(0,4+4+3,75)*(1,43+0,125+0,2)</t>
  </si>
  <si>
    <t xml:space="preserve">Zřízení bednění ztužujících věnců </t>
  </si>
  <si>
    <t xml:space="preserve">417351116 </t>
  </si>
  <si>
    <t xml:space="preserve">Odstranění bednění ztužujících věnců </t>
  </si>
  <si>
    <t>věnce přístavba</t>
  </si>
  <si>
    <t xml:space="preserve"> =(6,23)*0,25*0,25</t>
  </si>
  <si>
    <t xml:space="preserve">Výztuž ztužujících pásů a věnců betonářskou ocelí 10 505 </t>
  </si>
  <si>
    <t>věnce</t>
  </si>
  <si>
    <t>odhad 150 kg/m3</t>
  </si>
  <si>
    <t xml:space="preserve"> =((2,5+2,75)*2*2+0,7*2)*0,25*0,25</t>
  </si>
  <si>
    <t xml:space="preserve"> =((2,5+2,75)*2*2+0,7*2)*0,25*2</t>
  </si>
  <si>
    <t xml:space="preserve"> =(6,23)*0,25*2</t>
  </si>
  <si>
    <t>deska schodiště 2. - 3.NP</t>
  </si>
  <si>
    <t xml:space="preserve"> =(3,4*1,4)*tloušťka</t>
  </si>
  <si>
    <t xml:space="preserve"> =(3,4*1,4)</t>
  </si>
  <si>
    <t xml:space="preserve">Schodišťové stupně dusané na terén z betonu tř. C 20/25 bez potěru </t>
  </si>
  <si>
    <t>schody pavlač malé</t>
  </si>
  <si>
    <t>schody pavlač velké</t>
  </si>
  <si>
    <t xml:space="preserve">Zřízení bednění stupňů přímočarých schodišť </t>
  </si>
  <si>
    <t xml:space="preserve">Odstranění bednění stupňů přímočarých schodišť </t>
  </si>
  <si>
    <t>434311.R001</t>
  </si>
  <si>
    <t>Příplatek za pohledové provedení stupňů - nášlapy i postupnice</t>
  </si>
  <si>
    <t>St.8</t>
  </si>
  <si>
    <t>Nový vikýř</t>
  </si>
  <si>
    <t>Montáž tesařských stěn na hladko z hraněného řeziva průřezové pl přes 120 do 224 cm2</t>
  </si>
  <si>
    <t>boční stěna</t>
  </si>
  <si>
    <t xml:space="preserve">hranol stavební řezivo průřezu do 224cm2 do dl 6m </t>
  </si>
  <si>
    <t xml:space="preserve"> =5*(2,4/2)*2</t>
  </si>
  <si>
    <t xml:space="preserve">Spojovací prostředky pro montáž stěn, příček, bednění stěn </t>
  </si>
  <si>
    <t xml:space="preserve">Obložení stěn z desek OSB tl 18 mm broušených na pero a drážku přibíjených </t>
  </si>
  <si>
    <t xml:space="preserve">Montáž izolace tepelné stěn a slopů překrytí fólií s přelepeným spojem </t>
  </si>
  <si>
    <t>Montáž obložení stěn podkladový rošt</t>
  </si>
  <si>
    <t>podkladní rošt</t>
  </si>
  <si>
    <t xml:space="preserve"> =6*3/2*2</t>
  </si>
  <si>
    <t xml:space="preserve">řezivo jehličnaté lať impregnovaná dl 4 m </t>
  </si>
  <si>
    <t>fólie kontaktní difuzně propustná pro doplňkovou hydroizolační vrstvu, monolitická třívrstvá PES/PP 150-160g/m2</t>
  </si>
  <si>
    <t>S.1</t>
  </si>
  <si>
    <t>Montáž laťování na střechách jednoduchých sklonu do 60° osové vzdálenosti přes 150 do 360 mm</t>
  </si>
  <si>
    <t>Střecha nad historickým objektem - severní křídlo</t>
  </si>
  <si>
    <t>Montáž izolace tepelné střech šikmých provedení podkladového roštu pod krokve</t>
  </si>
  <si>
    <t xml:space="preserve">Montáž izolace tepelné podlah, stropů vrchem nebo střech překrytí fólií s přelepeným spojem </t>
  </si>
  <si>
    <t>fólie PE vyztužená Al vrstvou pro parotěsnou vrstvu 150g/m2 s integrovanou lepící páskou</t>
  </si>
  <si>
    <t>S.1a</t>
  </si>
  <si>
    <t>Střecha nad historickým objektem - severní křídlo - doplnění</t>
  </si>
  <si>
    <t>plocha doplnění</t>
  </si>
  <si>
    <t xml:space="preserve"> =2,4*2</t>
  </si>
  <si>
    <t>Montáž izolace tepelné střech šikmých kladené volně mezi krokve rohoží, pásů, desek</t>
  </si>
  <si>
    <t xml:space="preserve">Montáž kontralatí na podklad bez tepelné izolace </t>
  </si>
  <si>
    <t>S.1b</t>
  </si>
  <si>
    <t>S.2</t>
  </si>
  <si>
    <t>Střecha nad historickým objektem - jižní křídlo</t>
  </si>
  <si>
    <t>S.2a</t>
  </si>
  <si>
    <t>Střecha nad historickým objektem - jižní křídlo - doplnění</t>
  </si>
  <si>
    <t xml:space="preserve"> =2,4*9</t>
  </si>
  <si>
    <t>S.2b</t>
  </si>
  <si>
    <t>S.3</t>
  </si>
  <si>
    <t xml:space="preserve">Podlahové kce podkladové dvouvrstvé z desek OSB tl 2x12 mm broušených na pero a drážku lepených </t>
  </si>
  <si>
    <t>Spojovací prostředky pro položení dřevěných podlah a zakrytí kanálů</t>
  </si>
  <si>
    <t>P.9</t>
  </si>
  <si>
    <t>Ocelobetonový strop nad m. 2.A.4</t>
  </si>
  <si>
    <t xml:space="preserve">Oprava vnitřní vápenné hladké omítky stropů v rozsahu plochy přes 30 do 50 % s celoplošným přeštukováním </t>
  </si>
  <si>
    <t xml:space="preserve">Oprava vnitřní vápenné hladké omítky stěn v rozsahu plochy přes 30 do 50 % s celoplošným přeštukováním </t>
  </si>
  <si>
    <t xml:space="preserve">Oprava vnitřní vápenné hladké omítky stěn v rozsahu plochy do 10 % s celoplošným přeštukováním </t>
  </si>
  <si>
    <t>štít 3.NP jižní strana</t>
  </si>
  <si>
    <t xml:space="preserve"> =15,1</t>
  </si>
  <si>
    <t xml:space="preserve">Vápenná omítka štuková dvouvrstvá vnitřních stěn nanášená ručně </t>
  </si>
  <si>
    <t xml:space="preserve">Oprava vnější vápenné hladké omítky členitosti 1 stěn v rozsahu do 10 % </t>
  </si>
  <si>
    <t>jih</t>
  </si>
  <si>
    <t>sever</t>
  </si>
  <si>
    <t>západ</t>
  </si>
  <si>
    <t>východ</t>
  </si>
  <si>
    <t xml:space="preserve">Tepelně izolační jednovrstvá omítka vnějších stěn tloušťky do 30 mm </t>
  </si>
  <si>
    <t xml:space="preserve">622142001 </t>
  </si>
  <si>
    <t xml:space="preserve">Potažení vnějších stěn sklovláknitým pletivem vtlačeným do tenkovrstvé hmoty </t>
  </si>
  <si>
    <t xml:space="preserve">Tenkovrstvá minerální zatíraná (škrábaná) omítka zrnitost 1,0 mm vnějších stěn </t>
  </si>
  <si>
    <t>fasáda historická</t>
  </si>
  <si>
    <t xml:space="preserve">Omytí omítek tlakovou vodou před provedením nátěru </t>
  </si>
  <si>
    <t xml:space="preserve">783823133 </t>
  </si>
  <si>
    <t xml:space="preserve">Penetrační silikátový nátěr hladkých, tenkovrstvých zrnitých nebo štukových omítek </t>
  </si>
  <si>
    <t xml:space="preserve">783827423 </t>
  </si>
  <si>
    <t>skladba P.3</t>
  </si>
  <si>
    <t>skladba P.2</t>
  </si>
  <si>
    <t>skladba P.5</t>
  </si>
  <si>
    <t>skladba P.5a</t>
  </si>
  <si>
    <t>skladba P.5b</t>
  </si>
  <si>
    <t>skladba P.6</t>
  </si>
  <si>
    <t>skladba P.6b</t>
  </si>
  <si>
    <t>skladba P.11</t>
  </si>
  <si>
    <t>mazaniny s KARI sítí</t>
  </si>
  <si>
    <t>mazaniny s rozptýlenou výztuží</t>
  </si>
  <si>
    <t xml:space="preserve">Pemrlování povrchu betonu rubu kleneb a podlah </t>
  </si>
  <si>
    <t>schodiště pavlač</t>
  </si>
  <si>
    <t xml:space="preserve"> =(2,85*2,05+1,6*2,3+1,7*2,05+1,6*2,05+2,23*1,65+3,06*2,45+1,6*2,91+3,06*2,45+2,26*2,25+6,23*3+1*1,67*3+1,06*1,7+1,16*1,7+1,1*1,7+1,25*1,85*4+0,65*1,8*2+1,17*1,8+1*1,37*4+1*1,87+1,06*1,8*7)*E373</t>
  </si>
  <si>
    <t xml:space="preserve">713131143 </t>
  </si>
  <si>
    <t xml:space="preserve">Montáž izolace tepelné stěn a základů lepením celoplošně v kombinaci s mechanickým kotvením rohoží, pásů, dílců, desek </t>
  </si>
  <si>
    <t>skladba St.2a</t>
  </si>
  <si>
    <t>skladba St.2b</t>
  </si>
  <si>
    <t xml:space="preserve">deska tepelně izolační minerální kalciumsilikátová λ=0,043 tl 100mm </t>
  </si>
  <si>
    <t xml:space="preserve">63152233 </t>
  </si>
  <si>
    <t xml:space="preserve">deska tepelně izolační minerální kalciumsilikátová λ=0,043 tl 120mm </t>
  </si>
  <si>
    <t xml:space="preserve">Potažení vnitřních stěn sklovláknitým pletivem vtlačeným do tenkovrstvé hmoty </t>
  </si>
  <si>
    <t xml:space="preserve">Tenkovrstvá minerální zatíraná (škrábaná) omítka zrnitost 1,0 mm vnitřních stěn </t>
  </si>
  <si>
    <t>skladba S.4</t>
  </si>
  <si>
    <t>skladba S.3</t>
  </si>
  <si>
    <t xml:space="preserve"> =2,75*1,25</t>
  </si>
  <si>
    <t xml:space="preserve"> =2,22*2,56+(2,56)*2*0,5</t>
  </si>
  <si>
    <t xml:space="preserve"> =2,75*2+2,56*2</t>
  </si>
  <si>
    <t xml:space="preserve"> =2,22*2,56</t>
  </si>
  <si>
    <t>EPS 160</t>
  </si>
  <si>
    <t>EPS 80</t>
  </si>
  <si>
    <t>skladba P.7</t>
  </si>
  <si>
    <t>skladba P.8</t>
  </si>
  <si>
    <t>skladba P.9</t>
  </si>
  <si>
    <t>MW 40</t>
  </si>
  <si>
    <t>EPS 220</t>
  </si>
  <si>
    <t xml:space="preserve">deska EPS 200 pro konstrukce s velmi vysokým zatížením λ=0,034 tl 80mm </t>
  </si>
  <si>
    <t xml:space="preserve">28375961 </t>
  </si>
  <si>
    <t xml:space="preserve">deska EPS 200 pro konstrukce s velmi vysokým zatížením λ=0,034 tl 160mm </t>
  </si>
  <si>
    <t xml:space="preserve">deska EPS 200 pro konstrukce s velmi vysokým zatížením λ=0,034 </t>
  </si>
  <si>
    <t>skladba P.11 - spád</t>
  </si>
  <si>
    <t xml:space="preserve">klín izolační EPS 200 spád do 5% </t>
  </si>
  <si>
    <t xml:space="preserve">28375962 </t>
  </si>
  <si>
    <t xml:space="preserve">deska EPS 200 pro konstrukce s velmi vysokým zatížením λ=0,034 tl 180mm </t>
  </si>
  <si>
    <t>Přesun hmot pro budovy zděné v do 15 m</t>
  </si>
  <si>
    <t>Přesun hmot procentní pro izolace proti vodě, vlhkosti a plynům v objektech v přes 6 do 12 m</t>
  </si>
  <si>
    <t xml:space="preserve">Přesun hmot procentní pro krytiny povlakové v objektech v přes 6 do 12 m </t>
  </si>
  <si>
    <t xml:space="preserve">Přesun hmot procentní pro izolace tepelné v objektech v přes 6 do 12 m </t>
  </si>
  <si>
    <t xml:space="preserve">Přesun hmot procentní pro kce tesařské v objektech v přes 6 do 12 m </t>
  </si>
  <si>
    <t>skladba St.7</t>
  </si>
  <si>
    <t>předstěny WC</t>
  </si>
  <si>
    <t>předstěna krov</t>
  </si>
  <si>
    <t xml:space="preserve"> =1,5*2,4+15,1-(0,85*1,97)</t>
  </si>
  <si>
    <t xml:space="preserve">763121466 </t>
  </si>
  <si>
    <t>SDK stěna předsazená tl 100 mm profil CW+UW 75 desky 2xDFH2 12,5 s izolací EI 45</t>
  </si>
  <si>
    <t xml:space="preserve">763121475 </t>
  </si>
  <si>
    <t xml:space="preserve">SDK stěna předsazená tl 75 mm profil CW+UW 50 desky s vysokou mechanickou odolností 2xDFRIH2 12,5 s izolací EI 30 Rw do 19 dB </t>
  </si>
  <si>
    <t xml:space="preserve"> =(0,9+0,9+1,86+0,97+1+1,275)*1,5</t>
  </si>
  <si>
    <t xml:space="preserve"> =4,26*2</t>
  </si>
  <si>
    <t>skladba St.8</t>
  </si>
  <si>
    <t xml:space="preserve">763121432 </t>
  </si>
  <si>
    <t xml:space="preserve">SDK stěna předsazená tl 87,5 mm profil CW+UW 75 deska 1xDFH2 12,5 s izolací EI 30 Rw do 12 dB </t>
  </si>
  <si>
    <t xml:space="preserve">SDK podhled samostatný požární předěl 2xDF 15 mm TI 60 mm 40 kg/m3 EI Z/S 60/60 dvouvrstvá spodní kce CD+UD </t>
  </si>
  <si>
    <t xml:space="preserve">SDK podhled deska 1x akustická s izolací dvouvrstvá spodní kce profil CD+UD REI 90 Rw 60 dB </t>
  </si>
  <si>
    <t xml:space="preserve">SDK podkroví deska 1xDF 15 TI 100 mm 15 kg/m3 REI 30 DP3 dvouvrstvá spodní kce profil CD+UD na krokvových nástavcích </t>
  </si>
  <si>
    <t xml:space="preserve">SDK podkroví deska 1xDF 12,5 TI 100 mm 15 kg/m3 REI 15 DP3 dvouvrstvá spodní kce profil CD+UD na krokvových nástavcích </t>
  </si>
  <si>
    <t>skladba S.1</t>
  </si>
  <si>
    <t>skladba S.2</t>
  </si>
  <si>
    <t>skladba S.1a</t>
  </si>
  <si>
    <t>skladba S.1b</t>
  </si>
  <si>
    <t>skladba S.2a</t>
  </si>
  <si>
    <t>skladba S.2b</t>
  </si>
  <si>
    <t>Přesun hmot procentní pro sádrokartonové konstrukce v objektech v přes 6 do 12 m</t>
  </si>
  <si>
    <t>Příplatek k montáži krytiny keramické za připevňovací prostředky za sklon přes 40° do 50°</t>
  </si>
  <si>
    <t xml:space="preserve">Přesun hmot procentní pro konstrukce klempířské v objektech v přes 6 do 12 m </t>
  </si>
  <si>
    <t xml:space="preserve">    766 - Konstrukce truhlářské</t>
  </si>
  <si>
    <t xml:space="preserve">Přesun hmot procentní pro kce truhlářské v objektech v přes 6 do 12 m </t>
  </si>
  <si>
    <t>skladba P.1</t>
  </si>
  <si>
    <t>dlažba plošná betonová terasová hladká 500x500x50mm</t>
  </si>
  <si>
    <t xml:space="preserve">Samonivelační stěrka podlah pevnosti 30 MPa tl 3 mm </t>
  </si>
  <si>
    <t>dlažba mimo sociální zázemí</t>
  </si>
  <si>
    <t>dlažba sociální zázemí</t>
  </si>
  <si>
    <t>sokl z materiálu dlažby</t>
  </si>
  <si>
    <t xml:space="preserve">Přesun hmot procentní pro podlahy z dlaždic v objektech v přes 6 do 12 m </t>
  </si>
  <si>
    <t xml:space="preserve">Montáž podlahy z dlaždic cihelných lepením flexibilním lepidlem přes 22 do 25 ks/m2 </t>
  </si>
  <si>
    <t>schodiště 1. a 2.NP</t>
  </si>
  <si>
    <t xml:space="preserve">Přesun hmot procentní pro podlahy dřevěné v objektech v přes 6 do 12 m </t>
  </si>
  <si>
    <t xml:space="preserve">Přesun hmot procentní pro podlahy z kamene v objektech v přes 6 do 12 m </t>
  </si>
  <si>
    <t xml:space="preserve">    773 - Podlahy teracové</t>
  </si>
  <si>
    <t xml:space="preserve">Podlaha z přírodního litého teraca prostá tloušťky do 20 mm </t>
  </si>
  <si>
    <t xml:space="preserve">Soklíky z přírodního litého teraca rovné tloušťky do 20 mm výšky přes 50 do 150 mm s fabionem </t>
  </si>
  <si>
    <t xml:space="preserve">Přesun hmot procentní pro podlahy teracové lité v objektech v přes 6 do 12 m </t>
  </si>
  <si>
    <t xml:space="preserve"> =2,4*1,7*2</t>
  </si>
  <si>
    <t xml:space="preserve"> =2,4*1,7*9</t>
  </si>
  <si>
    <t xml:space="preserve">Montáž podlahové lišty ze dřeva tvrdého nebo měkkého lepené </t>
  </si>
  <si>
    <t>soklová lišta</t>
  </si>
  <si>
    <t xml:space="preserve">lišta soklová dřevěná š 15.0 mm, h 60.0 mm </t>
  </si>
  <si>
    <t xml:space="preserve">palubky podlahové smrk tl 28mm A/B </t>
  </si>
  <si>
    <t>skladba P.4</t>
  </si>
  <si>
    <t xml:space="preserve">Podlahy dřevěné, základní lak </t>
  </si>
  <si>
    <t xml:space="preserve">Podlahy dřevěné, vrchní lak pro velmi vysokou zátěž </t>
  </si>
  <si>
    <t xml:space="preserve">775591316 </t>
  </si>
  <si>
    <t xml:space="preserve">Podlahy dřevěné, mezibroušení mezi vrstvami laku </t>
  </si>
  <si>
    <t xml:space="preserve">777111123 </t>
  </si>
  <si>
    <t xml:space="preserve">Strojní broušení podkladu před provedením lité podlahy </t>
  </si>
  <si>
    <t xml:space="preserve">Vysátí podkladu před provedením lité podlahy </t>
  </si>
  <si>
    <t xml:space="preserve">Penetrační epoxidový nátěr podlahy na vlhký nebo nenasákavý podklad </t>
  </si>
  <si>
    <t xml:space="preserve">777612109 </t>
  </si>
  <si>
    <t xml:space="preserve">Uzavírací epoxidový protiskluzný nátěr podlahy </t>
  </si>
  <si>
    <t>sokl</t>
  </si>
  <si>
    <t xml:space="preserve">Přesun hmot procentní pro podlahy lité v objektech v přes 6 do 12 m </t>
  </si>
  <si>
    <t>keramický obklad</t>
  </si>
  <si>
    <t xml:space="preserve">Nátěr penetrační na stěnu </t>
  </si>
  <si>
    <t xml:space="preserve">Přesun hmot procentní pro obklady keramické v objektech v přes 6 do 12 m </t>
  </si>
  <si>
    <t>nátěr krov</t>
  </si>
  <si>
    <t xml:space="preserve">Napouštěcí jednonásobný akrylátový biocidní nátěr tesařských prvků nezabudovaných do konstrukce </t>
  </si>
  <si>
    <t>Ostatní práce a dodávky</t>
  </si>
  <si>
    <t xml:space="preserve">Montáž vázaných kcí krovů pravidelných z hraněného řeziva průřezové pl přes 288 do 450 cm2 </t>
  </si>
  <si>
    <t>doplnění vazné trámy</t>
  </si>
  <si>
    <t xml:space="preserve">hranol stavební řezivo průřezu do 450cm2 do dl 6m </t>
  </si>
  <si>
    <t>Lazurovací dvojnásobný akrylátový nátěr tesařských konstrukcí</t>
  </si>
  <si>
    <t>celkem plochy</t>
  </si>
  <si>
    <t>odpočet černá</t>
  </si>
  <si>
    <t>odpočet termo</t>
  </si>
  <si>
    <t>odpočet otěruvzdoný nátěr</t>
  </si>
  <si>
    <t>Krycí dvojnásobný silikonový nátěr omítek stupně členitosti 1 a 2</t>
  </si>
  <si>
    <t>vnitřní omítka kavárna</t>
  </si>
  <si>
    <t xml:space="preserve"> =(2,6*2+0,9*2+1*3+1,5*3+3,1+1,4+2,3+0,9+1,9+1,3+1,2*2+1,8*3+1,7*3+1,7*2+2,9+1,6+2,6+1,3+2,4)*2*výška+7,7*1,8</t>
  </si>
  <si>
    <t>Příplatek k cenám 2x maleb ze směsí za mokra oděruvzdorných za barevnou malbu v náročném odstínu</t>
  </si>
  <si>
    <t>černá SDK podkroví</t>
  </si>
  <si>
    <t xml:space="preserve">Termoizolační malby v místnostech do 3,80 m </t>
  </si>
  <si>
    <t>malba přízemí</t>
  </si>
  <si>
    <t>základové pasy přístřešek</t>
  </si>
  <si>
    <t>schody infocentrum</t>
  </si>
  <si>
    <t>základové pasy schodiště</t>
  </si>
  <si>
    <t xml:space="preserve"> =(0,73+0,4*0,6)*(1,45*2+3,2)</t>
  </si>
  <si>
    <t xml:space="preserve"> =(0,6*0,2)*(1,45*2+3,2)</t>
  </si>
  <si>
    <t xml:space="preserve"> =(1,36+1,68)*0,6*0,2</t>
  </si>
  <si>
    <t xml:space="preserve"> =(1,36+1,68)*0,6*0,8</t>
  </si>
  <si>
    <t xml:space="preserve"> =(1,36+1,68)*0,6*0,6</t>
  </si>
  <si>
    <t xml:space="preserve">Základová zeď tl přes 150 do 200 mm z tvárnic ztraceného bednění včetně výplně z betonu tř. C 20/25 </t>
  </si>
  <si>
    <t>zdivo přístřešek</t>
  </si>
  <si>
    <t xml:space="preserve"> =(1,05*2+2,8)*2,25</t>
  </si>
  <si>
    <t>deska přístřešek</t>
  </si>
  <si>
    <t xml:space="preserve"> =1,05*2,8*tloušťka</t>
  </si>
  <si>
    <t xml:space="preserve"> =1,05*2,8</t>
  </si>
  <si>
    <t>skladba St.4</t>
  </si>
  <si>
    <t xml:space="preserve">Vápenocementová omítka hladká jednovrstvá vnějších stěn nanášená ručně </t>
  </si>
  <si>
    <t xml:space="preserve">Izolace proti vlhkosti na vodorovné ploše za studena těsnicím nátěrem na bázi pryže (latexu) a bitumenů </t>
  </si>
  <si>
    <t>E.1</t>
  </si>
  <si>
    <t>Zpevněný pochozí povrch - kostky</t>
  </si>
  <si>
    <t>E.2</t>
  </si>
  <si>
    <t>E.3</t>
  </si>
  <si>
    <t xml:space="preserve">kostka štípaná dlažební žula drobná 8/10 </t>
  </si>
  <si>
    <t>skladba E.3</t>
  </si>
  <si>
    <t xml:space="preserve">Podklad ze štěrkodrtě ŠD plochy do 100 m2 tl 200 mm </t>
  </si>
  <si>
    <t>Zpevněný povrch s občasným pojezdem - kostky</t>
  </si>
  <si>
    <t>Zpevněný pochozí povrch - válcovaný štěrk</t>
  </si>
  <si>
    <t xml:space="preserve">Kladení dlažby z kostek drobných z kamene do lože z kameniva těženého tl 50 mm </t>
  </si>
  <si>
    <t>skladba E.2</t>
  </si>
  <si>
    <t xml:space="preserve">Podklad z vibrovaného štěrku VŠ tl 120 mm </t>
  </si>
  <si>
    <t xml:space="preserve">Posyp krytu kamenivem drceným nebo těženým přes 60 do 65 kg/m2 </t>
  </si>
  <si>
    <t>obruby</t>
  </si>
  <si>
    <t xml:space="preserve"> =14,5+7,8+0,9+13,7+7,4+6,9+14+4</t>
  </si>
  <si>
    <t xml:space="preserve"> =7,3+18,8+24</t>
  </si>
  <si>
    <t xml:space="preserve">    1 - Stavební práce a dodávky</t>
  </si>
  <si>
    <t>Schody z vibrolisovaných prefabrikátů se zřízením podkladních stupňů z betonu C 20/25</t>
  </si>
  <si>
    <t>schodiště sever</t>
  </si>
  <si>
    <t>Hloubení jamek bez výměny půdy zeminy tř 1 až 4 obj přes 0,4 do 1 m3 v rovině a svahu do 1:5</t>
  </si>
  <si>
    <t>Výsadba dřeviny s balem D přes 0,6 do 0,8 m do jamky se zalitím v rovině a svahu do 1:5</t>
  </si>
  <si>
    <t>0058.R001</t>
  </si>
  <si>
    <t>strom s balem, průměr kmene 10-15cm</t>
  </si>
  <si>
    <t xml:space="preserve">Protipožární akrylátový nátěr tesařských konstrukcí </t>
  </si>
  <si>
    <t>Zásobníky pro ohřev teplé vody</t>
  </si>
  <si>
    <t>Napojení elektrických boilerů</t>
  </si>
  <si>
    <t>Kulový uzávěr páčka – SV, TV DN 20</t>
  </si>
  <si>
    <t>Rohové šroubení – SV, TV DN 20</t>
  </si>
  <si>
    <t>Kulový uzávěr páčka – SV, TV DN 15</t>
  </si>
  <si>
    <t>Rohové šroubení – SV, TV DN 15</t>
  </si>
  <si>
    <t>Odečtové vodoměry podružné</t>
  </si>
  <si>
    <t>Sběr dat z vodoměrů a poměrových měřičů tepla</t>
  </si>
  <si>
    <t>Kulový uzávěr páčka DN 15</t>
  </si>
  <si>
    <t>Vodoměr studené vody, 2,5 m3/hod 80mm včetně radiového modulu</t>
  </si>
  <si>
    <t>Šroubení k vodoměru DN15 přímé</t>
  </si>
  <si>
    <t>Centrála memonic včetně sim karty memonic</t>
  </si>
  <si>
    <t>Poplatek za první rok provozu</t>
  </si>
  <si>
    <t>32x4,4 PEX návin</t>
  </si>
  <si>
    <t>40x5,5 PEX návin</t>
  </si>
  <si>
    <t>Přechod na závit 32x1“vnější mosaz T110</t>
  </si>
  <si>
    <t>Přechod na závit 40x5/4“vnější mosaz T110</t>
  </si>
  <si>
    <t>T-kus 40x40x32 lisovaný mosaz T125</t>
  </si>
  <si>
    <t>T-kus 32x40x32 lisovaný mosaz T125</t>
  </si>
  <si>
    <t>42x10 PE návleky pouzdro</t>
  </si>
  <si>
    <t>5) Upevnění potrubí - (značeného PPR)</t>
  </si>
  <si>
    <t>Pisoáry</t>
  </si>
  <si>
    <t>6) Baterie zařizovacích předmětů</t>
  </si>
  <si>
    <t>Rohový ventil (2 ks) 3/8“ – 1/2" s filtrem</t>
  </si>
  <si>
    <t>Sprchové kouty</t>
  </si>
  <si>
    <t>Dřezy kuchyňské</t>
  </si>
  <si>
    <t>Výlevky</t>
  </si>
  <si>
    <t>7) Ostatní práce a dodávky</t>
  </si>
  <si>
    <t>1) Šachty, jímky betonové</t>
  </si>
  <si>
    <t>Šachta pozice S1</t>
  </si>
  <si>
    <t>Šachtové těsnění 1000 1000 DN 1000</t>
  </si>
  <si>
    <t>2) Nádrž dešťové vody</t>
  </si>
  <si>
    <t>Podzemní betonová samonosná nádrž</t>
  </si>
  <si>
    <t>Nádrž 7m3, rozměry 3000x2400x1420mm</t>
  </si>
  <si>
    <t>Nástavec nádrže s pokopem</t>
  </si>
  <si>
    <t>3) Čerpadla dešťové vody</t>
  </si>
  <si>
    <t>Ponorné čerpadlo dešťové vody pro zálivku</t>
  </si>
  <si>
    <t>4) Lapače střešních nečistot</t>
  </si>
  <si>
    <t>Lapač střešních nečistot s otočným kloubem DN110 HL600</t>
  </si>
  <si>
    <t>5) Podlahové vpusti</t>
  </si>
  <si>
    <t>Podlahová vpusť vnitřní se záp. uzávěrem DN 110</t>
  </si>
  <si>
    <t>6) Zařizovací předměty</t>
  </si>
  <si>
    <t>WC komplety</t>
  </si>
  <si>
    <t>Pisoár s tlakovým splachovačem</t>
  </si>
  <si>
    <t>Umývadla</t>
  </si>
  <si>
    <t>Sprchové kouty s odtokovým žlabem</t>
  </si>
  <si>
    <t>Odtoková a přepadová souprava</t>
  </si>
  <si>
    <t>Odtokový spoj pro dvojdřez s hadicovou přípojkou</t>
  </si>
  <si>
    <t>Zápachový uzávěr lahvový</t>
  </si>
  <si>
    <t>7) Splašková kanalizace v zemi, PVC SN4</t>
  </si>
  <si>
    <t>Odbočka 160/110 45° KG-SN4</t>
  </si>
  <si>
    <t>Koleno 110 45o KG-SN4</t>
  </si>
  <si>
    <t>Koleno 125 45o KG-SN4</t>
  </si>
  <si>
    <t>Odbočka 125/110 45o KG-SN4</t>
  </si>
  <si>
    <t>Odbočka 125/125 45o KG-SN4</t>
  </si>
  <si>
    <t>Redukce 125/110 KG-SN4</t>
  </si>
  <si>
    <t>Redukce 160/125 KG-SN4</t>
  </si>
  <si>
    <t>Odbočka 160/125 45° KG-SN4</t>
  </si>
  <si>
    <t>Kanalizační trubky hladké 32 HT</t>
  </si>
  <si>
    <t>Kanalizační trubky hladké 75 HT</t>
  </si>
  <si>
    <t>Koleno 75 45o HT</t>
  </si>
  <si>
    <t>Koleno 75 87o HT</t>
  </si>
  <si>
    <t>Koleno 110 87o HT</t>
  </si>
  <si>
    <t>Odbočka 110/50 45o HT</t>
  </si>
  <si>
    <t>Odbočka 110/75 45o HT</t>
  </si>
  <si>
    <t>Odbočka 110/110 45o HT</t>
  </si>
  <si>
    <t>Redukce 110/75 HT</t>
  </si>
  <si>
    <t>Objímka kovová (pro 32) 31-38</t>
  </si>
  <si>
    <t>Koleno 160 45o KG-SN4</t>
  </si>
  <si>
    <t>Odbočka 160/110 45o KG-SN4</t>
  </si>
  <si>
    <t>Odbočka 160/125 45o KG-SN4</t>
  </si>
  <si>
    <t>Odbočka 160/160 45o KG-SN4</t>
  </si>
  <si>
    <t>Zemní práce - výkop + lože + zásyp pro nádrž</t>
  </si>
  <si>
    <t>3) Potrubí vícevrstvé – PEX-Al-PE</t>
  </si>
  <si>
    <t>32x3 Potrubí PEX-Al-PE, návin GAS</t>
  </si>
  <si>
    <t>32 Korugovaná ochranná trubka GAS</t>
  </si>
  <si>
    <t>4) Tvarovky – PEX-Al-PE</t>
  </si>
  <si>
    <t>Přímý přechod vnější závit press gas 1“Mx32 GAS</t>
  </si>
  <si>
    <t>Koleno vnitřní závit press gas 1“Fx32 GAS</t>
  </si>
  <si>
    <t>Uzávěr rohový protipožární G2T 3/4“F</t>
  </si>
  <si>
    <t>6) Ostatní práce a dodávky</t>
  </si>
  <si>
    <t>Kulový kohout páčka DN 32 R950</t>
  </si>
  <si>
    <t>Šroubení topenářské přímé DN 20 SP603</t>
  </si>
  <si>
    <t>D.1.4.3  - VZT</t>
  </si>
  <si>
    <t>Zař.č.</t>
  </si>
  <si>
    <t>Název</t>
  </si>
  <si>
    <t>Mn.</t>
  </si>
  <si>
    <t>Jedn.</t>
  </si>
  <si>
    <t>Jedn. cena (Kč)</t>
  </si>
  <si>
    <t>Náklady (Kč)</t>
  </si>
  <si>
    <t>Dodávka</t>
  </si>
  <si>
    <t>Montáž</t>
  </si>
  <si>
    <t>Celkem za jednot.</t>
  </si>
  <si>
    <t>Celkem za položku</t>
  </si>
  <si>
    <t>Zařízení 1 větrání kavárny a infocentra</t>
  </si>
  <si>
    <t>1.01</t>
  </si>
  <si>
    <t>Kompaktní větrací jednotka s protiproudým deskovým rekuperátorem</t>
  </si>
  <si>
    <t>ve vnitřním provedení s hrdly nahoru, s elektrickým ohřívačem a autonomním</t>
  </si>
  <si>
    <t>systémem měřní a regulace vč. prokabelování s externím ovladačem</t>
  </si>
  <si>
    <t>Vnitřní provedení, dvojitý sandwichový panel tl. 45mm plněný minerální vatou</t>
  </si>
  <si>
    <t xml:space="preserve">Panely z lakovaného ocelového plechu s vysokou odolností proti korozi. </t>
  </si>
  <si>
    <t xml:space="preserve">Složení: </t>
  </si>
  <si>
    <t>- přívod: pružná manžeta, klapka, přívodní filtr F7, přívodní část deskového</t>
  </si>
  <si>
    <t xml:space="preserve">            výměníku s obtokovou klapkou, elektrický ohřívač,</t>
  </si>
  <si>
    <t xml:space="preserve">            přívodní ventilátor s EC motorem, pružná manžeta</t>
  </si>
  <si>
    <t>- odvod: pružná manžeta, klapka, filtr M5, odtahová část deskového výměníku</t>
  </si>
  <si>
    <t xml:space="preserve">            odtahový ventilátor s EC motorem, pružná manžeta</t>
  </si>
  <si>
    <t>Výkonnové parametry jsou uvedeny v tabulce výkonů.</t>
  </si>
  <si>
    <t>vč. příslušenství - upínací manžety 4ks, sifon 1ks a ovladač pro umístění</t>
  </si>
  <si>
    <t xml:space="preserve">      v prostoru kavárny vč. 20m kabelu, rozvaděč na zdi strojovny</t>
  </si>
  <si>
    <t>Splňuje požadavky nař.EU č.1253/2014 (Ecodesing 2018) v plném rozsahu.</t>
  </si>
  <si>
    <t>STARTPACK - zprovoznění jednotky odbornou firmou</t>
  </si>
  <si>
    <t>24051-1320</t>
  </si>
  <si>
    <t xml:space="preserve">Montáž vzduchotechnické jednotky </t>
  </si>
  <si>
    <t>Umístění ve strojovně vzduchotechniky (výkres "Půdorysu krovu*)</t>
  </si>
  <si>
    <t>1.02a</t>
  </si>
  <si>
    <t>Prostorové čidlo pro sledování kvality vzduchu a řízení výkonu větracích systémů</t>
  </si>
  <si>
    <t>Bude napájeno pomocí 230V a prokabelováno 0-10V pro plynulé řízení</t>
  </si>
  <si>
    <t>VZT jednotky - napájení a prokabelování se sumátorem zajistí profese elektro</t>
  </si>
  <si>
    <t xml:space="preserve">Montáž čidla kvality vzduchu </t>
  </si>
  <si>
    <t>Umístění na stěně v prostoru kavárny a infocentra  (výkresy "Půdorysu 1.NP*)</t>
  </si>
  <si>
    <t>1.02b</t>
  </si>
  <si>
    <t>Sumátor k zapojení více čidel kvality vzduchu do společné VZT</t>
  </si>
  <si>
    <t xml:space="preserve">Komunikační kabel z čidel kvality vzduchu do sumátoru a ze sumátoru do </t>
  </si>
  <si>
    <t>rozvaděče VZT jednotky - prokabelování zajistí profese elektro</t>
  </si>
  <si>
    <t>Montáž sumátoru</t>
  </si>
  <si>
    <t>Umístění na stěně v prostoru strojovny VZT (výkresy "Půdorys krovu*)</t>
  </si>
  <si>
    <t>1.02c</t>
  </si>
  <si>
    <t>Kouřové čidlo do VZT potrubí vč. transformátoru 12/15W</t>
  </si>
  <si>
    <t>Montáž čidla</t>
  </si>
  <si>
    <t>Umístění v potrubí nasávání</t>
  </si>
  <si>
    <t>1.03</t>
  </si>
  <si>
    <t>Požární klapka EI 30 400x400, se servopohonem 24V</t>
  </si>
  <si>
    <t>1.04</t>
  </si>
  <si>
    <t>Požární klapka EI 30 500x200, se servopohonem 24V</t>
  </si>
  <si>
    <t>24071-5118</t>
  </si>
  <si>
    <t xml:space="preserve">Montáž požární klapky </t>
  </si>
  <si>
    <t>Umístění ve strojovně VZT (výkresy "Půdorys krovu*)</t>
  </si>
  <si>
    <t>1.05</t>
  </si>
  <si>
    <t>Tlumič hluku buňkový 400x500x1000 s buňkami 200x500x1000 (2ks)</t>
  </si>
  <si>
    <t>24076-1118</t>
  </si>
  <si>
    <t>Montáž tlumiče hluku</t>
  </si>
  <si>
    <t>Umístění v potrubí před a za jednotkou (výkresy "Půdorys krovu*)</t>
  </si>
  <si>
    <t>1.06</t>
  </si>
  <si>
    <t>Multidýza s nastavitelnými mikrodýzami pro kruh. potrubí 500x150, v barvě RAL 9005</t>
  </si>
  <si>
    <t>24074-2113</t>
  </si>
  <si>
    <t>Montáž multidýzy</t>
  </si>
  <si>
    <t>Umístění v potrubí pod stropem (výkresy "Půdorysu 1.NP*)</t>
  </si>
  <si>
    <t>1.07</t>
  </si>
  <si>
    <t>Velkoplošná vyúsť 900x1500x300/2x250 pro nástěnnou instalaci</t>
  </si>
  <si>
    <t>1.08</t>
  </si>
  <si>
    <t>Velkoplošná vyúsť 900x1200x300/2x250 pro nástěnnou instalaci</t>
  </si>
  <si>
    <t>Montáž vyústě</t>
  </si>
  <si>
    <t>Umístění ve stěně v prostoru kavárny (výkresy "Půdorysu 1.NP*)</t>
  </si>
  <si>
    <t>1.09</t>
  </si>
  <si>
    <t>Ventilační potrubí s mikrodýzami 250/300°/1000 s mřížkou z tahokovu</t>
  </si>
  <si>
    <t>Ventilační potrubí slepé 250/400</t>
  </si>
  <si>
    <t>Umístění pod stropem v prostoru kavárny (výkresy "Půdorysu 1.NP*)</t>
  </si>
  <si>
    <t>Vyústka odvodní pro čtyřhranné potrubí 600x200 s regulací R1</t>
  </si>
  <si>
    <t>Montáž vyústky</t>
  </si>
  <si>
    <t>Potrubí Spiro pr. 200, 30% tvarovek</t>
  </si>
  <si>
    <t>Potrubí Spiro pr. 250</t>
  </si>
  <si>
    <t>Potrubí Spiro pr. 355, 50% tvarovek</t>
  </si>
  <si>
    <t>Potrubí Spiro pr. 400, 30% tvarovek</t>
  </si>
  <si>
    <t>24084-1116</t>
  </si>
  <si>
    <t>Montáž Spira potrubí</t>
  </si>
  <si>
    <t>Rozvody potrubí (výkresy "Půdorysy 2.NP*)</t>
  </si>
  <si>
    <t>Čtyřhranné potrubí sk. I, pozink, do obvodu 1050, 30% tvarovek</t>
  </si>
  <si>
    <r>
      <t>m</t>
    </r>
    <r>
      <rPr>
        <vertAlign val="superscript"/>
        <sz val="10"/>
        <rFont val="Arial CE"/>
        <family val="2"/>
      </rPr>
      <t>2</t>
    </r>
  </si>
  <si>
    <t>Čtyřhranné potrubí sk. I, pozink, do obvodu 1500, 30% tvarovek</t>
  </si>
  <si>
    <t>Čtyřhranné potrubí sk. I, pozink, do obvodu 1890, 50% tvarovek</t>
  </si>
  <si>
    <t>Čtyřhranné potrubí sk. I, pozink, do obvodu 2630</t>
  </si>
  <si>
    <t>24082-1317</t>
  </si>
  <si>
    <t>Montáž čtyřhranného potrubí</t>
  </si>
  <si>
    <t>Rozvody potrubí (výkresy "Půdorysy 2.NP, krovu, řezy*)</t>
  </si>
  <si>
    <t xml:space="preserve">Tepelná izolace vnitřní, minerální, tl. 40mm, Al folie </t>
  </si>
  <si>
    <r>
      <t>m</t>
    </r>
    <r>
      <rPr>
        <vertAlign val="superscript"/>
        <sz val="10"/>
        <rFont val="Arial"/>
        <family val="2"/>
      </rPr>
      <t>2</t>
    </r>
  </si>
  <si>
    <t>Montáž tepelné izolace</t>
  </si>
  <si>
    <t>Rozvody potrubí ve strojovně VZT (výkresy "Půdorys krovu*)</t>
  </si>
  <si>
    <t>Požární izolace EI30</t>
  </si>
  <si>
    <t>Montáž požární izolace</t>
  </si>
  <si>
    <t>Zařízení 2 větrání zázemí kavárny</t>
  </si>
  <si>
    <t>2.01</t>
  </si>
  <si>
    <t>Malá kompaktní větrací jednotka s rekuperací tepla s vysokou účinností a</t>
  </si>
  <si>
    <t xml:space="preserve">nízkou spotřebou pro montáž na stěnu s hrdly na vrchu jednotky. </t>
  </si>
  <si>
    <t>Protimrazová ochrana, pružné manžety</t>
  </si>
  <si>
    <t>Vnitřní provedení, EPP skříň, protiproudý deskový výměnjík z polypropylenu</t>
  </si>
  <si>
    <t>vč. příslušenství - upínací manžety 4ks, sifon 1ks</t>
  </si>
  <si>
    <t>Umístění ve skladu (výkres "Půdorysu 1.NP*)</t>
  </si>
  <si>
    <t>2.02a</t>
  </si>
  <si>
    <t>2.02b</t>
  </si>
  <si>
    <t>2.03</t>
  </si>
  <si>
    <t>Protidešťová žaluzie 200x200/pr. 160 se sítem, RAL dle výběru architekta</t>
  </si>
  <si>
    <t>Montáž žaluzie</t>
  </si>
  <si>
    <t>Umístění na fasádě (výkresy "Půdorysu 1.NP*)</t>
  </si>
  <si>
    <t>2.04</t>
  </si>
  <si>
    <t>Tlumič hluku kruhový pr. 160/ dl. 600 mm</t>
  </si>
  <si>
    <t>2.05</t>
  </si>
  <si>
    <t>Plastový talířový ventil univerzální pr. 100, vč. montážního rámečku</t>
  </si>
  <si>
    <t>2.06</t>
  </si>
  <si>
    <t>Plastový talířový ventil univerzální pr. 125, vč. montážního rámečku</t>
  </si>
  <si>
    <t>Montáž ventilu</t>
  </si>
  <si>
    <t>2.07</t>
  </si>
  <si>
    <t>Stěnová mřížka 400x200, lamely 12,5</t>
  </si>
  <si>
    <t>Montáž mřížky</t>
  </si>
  <si>
    <t>Umístění ve zdi (výkresy "Půdorysu 1.NP*)</t>
  </si>
  <si>
    <t>Potrubí Spiro pr. 125, 20% tvarovek</t>
  </si>
  <si>
    <t>Potrubí Spiro pr. 160, 30% tvarovek</t>
  </si>
  <si>
    <t>Potrubí Spiro pr. 225, 100% tvarovek</t>
  </si>
  <si>
    <t>Tepelná izolace vnitřní, kaučuková, tl. 20mm, samolep</t>
  </si>
  <si>
    <t>Rozvody potrubí  (výkresy "Půdorys 1.NP*)</t>
  </si>
  <si>
    <t>Zařízení 3 větrání prodejny - příprava</t>
  </si>
  <si>
    <t>3.01</t>
  </si>
  <si>
    <t>= dodávka nájemce =</t>
  </si>
  <si>
    <t>3.02a</t>
  </si>
  <si>
    <t>3.02c</t>
  </si>
  <si>
    <t>3.03</t>
  </si>
  <si>
    <t>Protidešťová žaluzie 250x250/pr. 200 se sítem, RAL dle výběru architekta</t>
  </si>
  <si>
    <t>3.04</t>
  </si>
  <si>
    <t>Tlumič hluku kruhový pr. 150/ dl. 600 mm</t>
  </si>
  <si>
    <t>Umístění ve zdi nad dveřmi (výkresy "Půdorysu 1.NP*)</t>
  </si>
  <si>
    <t>3.05</t>
  </si>
  <si>
    <t>Textilní vyúsť kruhová pr. 160/dl. 5000 mm</t>
  </si>
  <si>
    <t>Umístění pod stropem v prostoru prodejny (výkresy "Půdorysu 1.NP*)</t>
  </si>
  <si>
    <t>3.06</t>
  </si>
  <si>
    <t>Vyústka odvodní pro čtyřhranné potrubí 500x200 s regulací R1</t>
  </si>
  <si>
    <t>Ohebná akusticky izolovaná hadice pr. 254</t>
  </si>
  <si>
    <t xml:space="preserve">Ohebná Al laminátová hadice s tepelnou a hlukovou izolací z vrstvy minerální vaty tloušťky 25 mm, 16 kg/m3, parozábrana – zpevněný Al laminát. Vnitřní hadice je perforovaná jako tlumič hluku. </t>
  </si>
  <si>
    <t>24087-1113</t>
  </si>
  <si>
    <t>Montáž ohebné hadice</t>
  </si>
  <si>
    <t>Rozvod potrubí (půdorys 1.NP)</t>
  </si>
  <si>
    <t>Potrubí Spiro pr. 160, 10% tvarovek</t>
  </si>
  <si>
    <t>Potrubí Spiro pr. 200, 20% tvarovek</t>
  </si>
  <si>
    <t>Potrubí Spiro pr. 280, 100% tvarovek</t>
  </si>
  <si>
    <t>Čtyřhranné potrubí sk. I, pozink, do obvodu 1500, 80% tvarovek</t>
  </si>
  <si>
    <t>Zařízení 4 větrání víceúčelového sálu</t>
  </si>
  <si>
    <t>Čtyřhranné potrubí sk. I, pozink, do obvodu 1050, 50% tvarovek</t>
  </si>
  <si>
    <t>Čtyřhranné potrubí sk. I, pozink, do obvodu 1500, 60% tvarovek</t>
  </si>
  <si>
    <t>Zařízení 5 - sociálky muži 1.np</t>
  </si>
  <si>
    <t>5.01</t>
  </si>
  <si>
    <r>
      <t>Diagonální ventilátor do kruhového potrubí pr. 160 (250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/h, 130 Pa)</t>
    </r>
  </si>
  <si>
    <t xml:space="preserve">Skříň  i oběžné kolo ventilátoru z plastu. Střídavý motor s  dvojím vinutím s tepelnou pojistkou. Krytí IP44. 
Bude dodáno vč.zpětné klapky pr. 160 a pružných manžet 2ks. </t>
  </si>
  <si>
    <t>24013-2110</t>
  </si>
  <si>
    <t>Montáž ventilátoru</t>
  </si>
  <si>
    <t>Umístění v podhledu (půdorys 1.NP)</t>
  </si>
  <si>
    <t>5.02</t>
  </si>
  <si>
    <t>5.03</t>
  </si>
  <si>
    <t>5.04</t>
  </si>
  <si>
    <t>Umístění v podhledu (výkresy "Půdorysu 1.NP*)</t>
  </si>
  <si>
    <t>Ohebná akusticky izolovaná hadice pr. 102</t>
  </si>
  <si>
    <t>Ohebná akusticky izolovaná hadice pr. 127</t>
  </si>
  <si>
    <t>Potrubí Spiro pr. 100, 20% tvarovek</t>
  </si>
  <si>
    <t>Potrubí Spiro pr. 125, 50% tvarovek</t>
  </si>
  <si>
    <t>Zařízení 6 - sociálky ženy 1.np</t>
  </si>
  <si>
    <t>6.01</t>
  </si>
  <si>
    <t>6.02</t>
  </si>
  <si>
    <t>6.03</t>
  </si>
  <si>
    <t>Potrubí Spiro pr. 125, 30% tvarovek</t>
  </si>
  <si>
    <t>Potrubí Spiro pr. 160, 20% tvarovek</t>
  </si>
  <si>
    <t>Zařízení 7 - sociálky muži 1.np</t>
  </si>
  <si>
    <t>7.01</t>
  </si>
  <si>
    <r>
      <t>Diagonální ventilátor do kruhového potrubí pr. 160 (300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/h, 110 Pa)</t>
    </r>
  </si>
  <si>
    <t>7.02</t>
  </si>
  <si>
    <t>7.03</t>
  </si>
  <si>
    <t>7.04</t>
  </si>
  <si>
    <t>Zařízení 8 - sociálky kanceláře 2.np</t>
  </si>
  <si>
    <t>8.01</t>
  </si>
  <si>
    <r>
      <t>Malý axiální ventilátor pr. 150 (100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/h, 30 Pa)</t>
    </r>
  </si>
  <si>
    <t xml:space="preserve">Skříň  s nárazuvzdorného plastu ABS, k montáži na stěnu s vestavěnou zpětnou klapkou. Vestavěná čidla pohybu a vlhkosti. </t>
  </si>
  <si>
    <t>Umístění ve zdi (půdorys 2.NP)</t>
  </si>
  <si>
    <t>8.02</t>
  </si>
  <si>
    <t>Venkovní mřížka pr. 150, RAL dle výběru architekta</t>
  </si>
  <si>
    <t>Umístění na fasádě (výkresy "Půdorysu 2.NP*)</t>
  </si>
  <si>
    <t>Potrubí Spiro pr. 150</t>
  </si>
  <si>
    <t>Rozvod potrubí (půdorys 2.NP)</t>
  </si>
  <si>
    <t>Rozvody potrubí  (výkresy "Půdorys 2.NP*)</t>
  </si>
  <si>
    <t>Zařízení 9 - větrání úklidu 1.np</t>
  </si>
  <si>
    <t>9.01</t>
  </si>
  <si>
    <t>Umístění ve zdi (půdorys 1.NP)</t>
  </si>
  <si>
    <t>9.02</t>
  </si>
  <si>
    <t>Ostatní</t>
  </si>
  <si>
    <t>Montážní a spojovací materiál</t>
  </si>
  <si>
    <t xml:space="preserve">Doprava, výškové práce </t>
  </si>
  <si>
    <t>Nátěr potrubí (v kavárně i inforcentru) - 2x základ, 2x vrchní, RAL dle architekta</t>
  </si>
  <si>
    <t>Značení vzduchotechnického zařízení a potrubí dle platných ČSN</t>
  </si>
  <si>
    <t>Realizační dokumentace</t>
  </si>
  <si>
    <t>24</t>
  </si>
  <si>
    <t>Předávací dokumentace, zaškolení obsluhy</t>
  </si>
  <si>
    <t>18</t>
  </si>
  <si>
    <t>Zprovoznění, komplexní zkouška, zaregulování</t>
  </si>
  <si>
    <t>Celková cena (bez DPH)</t>
  </si>
  <si>
    <t>Kontrolní součty:</t>
  </si>
  <si>
    <t>veškeré výměry v rozpočtu vzduchotechniky jsou převzaty z výkresové části dokumentace</t>
  </si>
  <si>
    <t>zatřídění položek (kódy) bylo provedeno dle sborníku „24-M Vzduchotechnika, klimatizace, chlazení“ vydaného společností KONCES spol. s r.o., Brno</t>
  </si>
  <si>
    <t>nedílnou součástí tohoto výkazu výměr jsou výkresy a technická zpráva</t>
  </si>
  <si>
    <t>Zařízení zdroje – plynový kondenzační kotel:</t>
  </si>
  <si>
    <t>1.4.1</t>
  </si>
  <si>
    <t>1.4.2</t>
  </si>
  <si>
    <t>1.4.3</t>
  </si>
  <si>
    <t>1.4.4</t>
  </si>
  <si>
    <t>1.2.2</t>
  </si>
  <si>
    <t>1.2.3</t>
  </si>
  <si>
    <t>1.2.4</t>
  </si>
  <si>
    <t>1.2.5</t>
  </si>
  <si>
    <t>1.2.6</t>
  </si>
  <si>
    <t>Sada připojení topného okruhu HKA</t>
  </si>
  <si>
    <t>Příslušenství kotlů:</t>
  </si>
  <si>
    <t>Sada sifonu G-TA</t>
  </si>
  <si>
    <t>Expanzní nádoba kotle</t>
  </si>
  <si>
    <t>Plynový kohout 1/2“ (kotle 15-35kW)</t>
  </si>
  <si>
    <t>Zkratovací potrubí G-KS</t>
  </si>
  <si>
    <t>Neutralizace kondenzátu</t>
  </si>
  <si>
    <t>Logamatic RC 310 bílá</t>
  </si>
  <si>
    <t>Kaskádový modul MC400 (4 kotle)</t>
  </si>
  <si>
    <t>Modul MM 100, směšování</t>
  </si>
  <si>
    <t>Regulace:</t>
  </si>
  <si>
    <t>Odkouření:</t>
  </si>
  <si>
    <t>Trubka DN 80/125 mm, délka 1 m</t>
  </si>
  <si>
    <t>Revizní díl přímý, DN125/80</t>
  </si>
  <si>
    <t>Koleno 87st. DN125/80</t>
  </si>
  <si>
    <t>1.5.1</t>
  </si>
  <si>
    <t>1.5.2</t>
  </si>
  <si>
    <t>1.5.3</t>
  </si>
  <si>
    <t>Měření spotřeby tepla – okruh podlahového vytápění:</t>
  </si>
  <si>
    <t>Šroubení komplet Rp 1"</t>
  </si>
  <si>
    <t>Ponorná jímka závitová R 1/2", 50mm</t>
  </si>
  <si>
    <t>Ultrazvukový měřič spotřeby tepla utego III perfect, jmenovitý průtok 3,5 m3/hod, 5/4“, 135mm QI3,5</t>
  </si>
  <si>
    <t>Sada expanzního zařízení UT:</t>
  </si>
  <si>
    <t>Expanzní nádoba 50 litrů, 6 bar, bílá EN1</t>
  </si>
  <si>
    <t>Odlučovače vzduchu a kalů</t>
  </si>
  <si>
    <t>Odlučovač nečistot DN 25 XStream Clean G1"F</t>
  </si>
  <si>
    <t>Oběhová čerpadla s autoadaptivní funkcí</t>
  </si>
  <si>
    <t>Alpha 2 25-40, 1,0 m3/hod, 25 kPa, 230V, 22W OČ1</t>
  </si>
  <si>
    <t>5.2.1</t>
  </si>
  <si>
    <t>5.3</t>
  </si>
  <si>
    <t>5.3.1</t>
  </si>
  <si>
    <t>Oběhová čerpadla s elektronickou regulací otáček</t>
  </si>
  <si>
    <t>Magna1 25-40, 3,5 m3/hod, 25 kPa, 230V, 56W OČ1</t>
  </si>
  <si>
    <t>5.3.2</t>
  </si>
  <si>
    <t>Pojistný termostat 20-90oC</t>
  </si>
  <si>
    <t>6.1.1</t>
  </si>
  <si>
    <t>6.1.2</t>
  </si>
  <si>
    <t>Regulační ventily</t>
  </si>
  <si>
    <t>Trojcestné ventily</t>
  </si>
  <si>
    <t>Trojcestný ventil DN 32 VRG131 kvs=16</t>
  </si>
  <si>
    <t>Pohon tříbodový 230V typ ARA 661, 120s 6 Nm</t>
  </si>
  <si>
    <t>Hydraulické vyrovnávače dynamických tlaků</t>
  </si>
  <si>
    <t>Hydraulické vyrovnávače</t>
  </si>
  <si>
    <t>Hydraulický vyrovnávač tlaku kompletní, připojení 6/4“ HV1</t>
  </si>
  <si>
    <t>8.1.1</t>
  </si>
  <si>
    <t>8.1.2</t>
  </si>
  <si>
    <t>Kompaktní rozdělovače</t>
  </si>
  <si>
    <t>Kompaktní rozdělovače – sběrače, PN6, modul 120 RS1</t>
  </si>
  <si>
    <t>Upevňovací sada</t>
  </si>
  <si>
    <t>35x1,2 měď tvrdá R290</t>
  </si>
  <si>
    <t>42x1,2 měď tvrdá R290</t>
  </si>
  <si>
    <t>10.1.1</t>
  </si>
  <si>
    <t>10.1.2</t>
  </si>
  <si>
    <t>10.1.3</t>
  </si>
  <si>
    <t>10.1.4</t>
  </si>
  <si>
    <t>10.1.5</t>
  </si>
  <si>
    <t>22x15 PE návleky pouzdro</t>
  </si>
  <si>
    <t>28x15 PE návleky pouzdro</t>
  </si>
  <si>
    <t>35x15 PE návleky pouzdro</t>
  </si>
  <si>
    <t>10.1.6</t>
  </si>
  <si>
    <t>10.1.7</t>
  </si>
  <si>
    <t>Spony pro upevnění izolace (100ks) plast</t>
  </si>
  <si>
    <t>Páska PVC 38mm samolepící</t>
  </si>
  <si>
    <t>15x20 min.vlna s hliníkovou folií vinuté pouzdro</t>
  </si>
  <si>
    <t>35x20 min.vlna s hliníkovou folií vinuté pouzdro</t>
  </si>
  <si>
    <t>10.2.1</t>
  </si>
  <si>
    <t>10.2.2</t>
  </si>
  <si>
    <t>10.2.3</t>
  </si>
  <si>
    <t>10.2.4</t>
  </si>
  <si>
    <t>10.2.5</t>
  </si>
  <si>
    <t>11.3</t>
  </si>
  <si>
    <t>11.4</t>
  </si>
  <si>
    <t>11.5</t>
  </si>
  <si>
    <t>Objímka (pro 15x1) kovová 14-16</t>
  </si>
  <si>
    <t>Objímka (pro 35x1,2) kovová 31-38</t>
  </si>
  <si>
    <t>Objímka (pro 42x1,2) kovová 40-46</t>
  </si>
  <si>
    <t>Objímka dvojitá plast 2x15</t>
  </si>
  <si>
    <t>Objímka dvojitá plast 2x18</t>
  </si>
  <si>
    <t>Objímka jednoduchá plast 22</t>
  </si>
  <si>
    <t>11.6</t>
  </si>
  <si>
    <t>11.7</t>
  </si>
  <si>
    <t>11.8</t>
  </si>
  <si>
    <t>11.9</t>
  </si>
  <si>
    <t>11.10</t>
  </si>
  <si>
    <t>11.11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</si>
  <si>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</si>
  <si>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</si>
  <si>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</si>
  <si>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</si>
  <si>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</si>
  <si>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</si>
  <si>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</si>
  <si>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</si>
  <si>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</si>
  <si>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</si>
  <si>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</si>
  <si>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</si>
  <si>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</si>
  <si>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</si>
  <si>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</si>
  <si>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</si>
  <si>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</si>
  <si>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</si>
  <si>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</si>
  <si>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</si>
  <si>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</si>
  <si>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</si>
  <si>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</si>
  <si>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</si>
  <si>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Rozdělovače topných nákladů</t>
  </si>
  <si>
    <t>doprimo 3, spodní díl</t>
  </si>
  <si>
    <t>doprimo 3 raio, kompakt vrchní díl včetně plomby typ s radiovým odečtem</t>
  </si>
  <si>
    <t>Montážní materiál</t>
  </si>
  <si>
    <t>13.2</t>
  </si>
  <si>
    <t>13.3</t>
  </si>
  <si>
    <t>Termostatická hlavice M30x1,5 B</t>
  </si>
  <si>
    <t>Vypouštěcí přípravek G3/4</t>
  </si>
  <si>
    <t>14.1.1</t>
  </si>
  <si>
    <t>14.2</t>
  </si>
  <si>
    <t>14.2.1</t>
  </si>
  <si>
    <t>Napojení těles (VK na Cu, přímé)</t>
  </si>
  <si>
    <t>Vekolux šroubení vypouštěcí rohové Rp1/2</t>
  </si>
  <si>
    <t>14.3</t>
  </si>
  <si>
    <t>14.3.1</t>
  </si>
  <si>
    <t>14.3.2</t>
  </si>
  <si>
    <t>14.1.2</t>
  </si>
  <si>
    <t>14.1.3</t>
  </si>
  <si>
    <t>14.1.4</t>
  </si>
  <si>
    <t>14.1.5</t>
  </si>
  <si>
    <t>14.1.6</t>
  </si>
  <si>
    <t>14.2.2</t>
  </si>
  <si>
    <t>14.2.3</t>
  </si>
  <si>
    <t>14.2.4</t>
  </si>
  <si>
    <t>14.2.5</t>
  </si>
  <si>
    <t>15</t>
  </si>
  <si>
    <t>15.1</t>
  </si>
  <si>
    <t>Kulový kohout páčka DN 40 R910</t>
  </si>
  <si>
    <t>15.2</t>
  </si>
  <si>
    <t>15.3</t>
  </si>
  <si>
    <t>15.4</t>
  </si>
  <si>
    <t>15.5</t>
  </si>
  <si>
    <t>15.6</t>
  </si>
  <si>
    <t>15.7</t>
  </si>
  <si>
    <t>15.8</t>
  </si>
  <si>
    <t>Zpětný ventil s pružinou DN 25 R60</t>
  </si>
  <si>
    <t>Zpětný ventil s pružinou DN 40 R60</t>
  </si>
  <si>
    <t>Ruční odvzdušňovač DN 15 R90</t>
  </si>
  <si>
    <t>Napouštěcí automatický ventil, manom DN 15 R150M</t>
  </si>
  <si>
    <t>Teploměr axiální s jímkou 0-120oC D63, L50, 1/2“</t>
  </si>
  <si>
    <t>Šroubení topenářské přímé DN 40 SP603</t>
  </si>
  <si>
    <t>16</t>
  </si>
  <si>
    <t>16.1</t>
  </si>
  <si>
    <t>16.2</t>
  </si>
  <si>
    <t>18.1</t>
  </si>
  <si>
    <t>Tvarovky pro potrubí 35x1,2</t>
  </si>
  <si>
    <t>Tvarovky pro potrubí 42x1,2</t>
  </si>
  <si>
    <t>Podlahová část vytápění</t>
  </si>
  <si>
    <t>17</t>
  </si>
  <si>
    <t>17.1</t>
  </si>
  <si>
    <t>17.1.1</t>
  </si>
  <si>
    <t>17.2</t>
  </si>
  <si>
    <t>17.2.1</t>
  </si>
  <si>
    <t>Hadice, dilatace</t>
  </si>
  <si>
    <t>Hadice 17x2 PEXa</t>
  </si>
  <si>
    <t>Ochranná trubka v roli PE 24/19 mm</t>
  </si>
  <si>
    <t>Profilovaná dilatační páska v roli 150/8 mm</t>
  </si>
  <si>
    <t>17.1.2</t>
  </si>
  <si>
    <t>17.1.3</t>
  </si>
  <si>
    <t>Systémové desky, izolace</t>
  </si>
  <si>
    <t>17.3</t>
  </si>
  <si>
    <t>17.3.1</t>
  </si>
  <si>
    <t>Plastifikátor do betonu (10kg/25m2) 10l PL10</t>
  </si>
  <si>
    <t>17.4</t>
  </si>
  <si>
    <t>17.4.1</t>
  </si>
  <si>
    <t>17.4.2</t>
  </si>
  <si>
    <t>17.4.3</t>
  </si>
  <si>
    <t>Sestava nerezového rozdělovače a sběrače s průtokoměr, 8 cestný R HKV-D 8</t>
  </si>
  <si>
    <t>Skříň na omítku, 6-8 okruhů R AP 805</t>
  </si>
  <si>
    <t>Svěrné šroubení pro PEX 17x2</t>
  </si>
  <si>
    <t>17.5</t>
  </si>
  <si>
    <t>17.5.1</t>
  </si>
  <si>
    <t>17.5.2</t>
  </si>
  <si>
    <t>17.5.3</t>
  </si>
  <si>
    <t>Termostaty bez časového programu pro vytápění, prostorový termostat 230 V (CYKY 5Cx1,5mm2) Nea H 230 V</t>
  </si>
  <si>
    <t>Rozvaděč Nea H 230 V bez regulace čerpadla max. 6xTS, 15xpohon</t>
  </si>
  <si>
    <t>Termopohon 230 V UNI 230 V</t>
  </si>
  <si>
    <t>Rozvaděče</t>
  </si>
  <si>
    <t>rozvaděč ELMĚR</t>
  </si>
  <si>
    <t>zapuštěná rozvodnice OCEP, 920/1650/250, IP54</t>
  </si>
  <si>
    <t>elektroměr, přímé měření, 3f/80A (dodávka ČEZ Distribuce)</t>
  </si>
  <si>
    <t>přijímač HDO (dodávka ČEZ Distribuce)</t>
  </si>
  <si>
    <t>jistič 6A/1f/B, 10kA</t>
  </si>
  <si>
    <t>jistič 20A/3f/B, 10kA</t>
  </si>
  <si>
    <t>jistič 70A/3f/B, 10kA s podpěťovou spouští</t>
  </si>
  <si>
    <t>podpěťová spoušť</t>
  </si>
  <si>
    <t>tlačítko na DIN lištu 1Z+1V</t>
  </si>
  <si>
    <t>zapuštěná rozvodnice PLASTOVÝ, IP41,54mod.</t>
  </si>
  <si>
    <t xml:space="preserve">vypínač 3f/63A </t>
  </si>
  <si>
    <t>přepěťová ochrana I a II typu, SPC 12,5/3+1 (Hakel)</t>
  </si>
  <si>
    <t>pojistkový odpojovač OPV 14/4</t>
  </si>
  <si>
    <t>pojistka válcová PV 14, 63A/gG</t>
  </si>
  <si>
    <t>jistič 6A/1f /B</t>
  </si>
  <si>
    <t>jistič 16A/1f/B</t>
  </si>
  <si>
    <t>jistič + proudový chránič 6A/B/1f+N /30mA</t>
  </si>
  <si>
    <t>jistič + proudový chránič 10A/B/1f+N /30mA</t>
  </si>
  <si>
    <t>jistič + proudový chránič 16A/B/1f+N /30mA</t>
  </si>
  <si>
    <t xml:space="preserve">jistič 16A/3f </t>
  </si>
  <si>
    <t>Stykač 1f+N/25A</t>
  </si>
  <si>
    <t>Stykač 3f/25A</t>
  </si>
  <si>
    <t xml:space="preserve">propojovací lišta </t>
  </si>
  <si>
    <t>rozvaděč HR - P (prodejna)</t>
  </si>
  <si>
    <t>rozvaděč HR - K (kavárna)</t>
  </si>
  <si>
    <t>rozvaděč HR - A (administrativa)</t>
  </si>
  <si>
    <t>rozvaděč 2R1</t>
  </si>
  <si>
    <t>rozvaděč R-SLAB</t>
  </si>
  <si>
    <t>jistič 16A/3f/B</t>
  </si>
  <si>
    <t>jistič 63A/3f/B</t>
  </si>
  <si>
    <t>proudový chránič 25A/3f /30mA</t>
  </si>
  <si>
    <t>zapuštěná rozvodnice PLASTOVÝ, IP31,144mod.</t>
  </si>
  <si>
    <t xml:space="preserve">jistič 6A/1f </t>
  </si>
  <si>
    <t xml:space="preserve">jistič 10A/1f </t>
  </si>
  <si>
    <t xml:space="preserve">jistič 16A/1f </t>
  </si>
  <si>
    <t>jistič 6A/3f/B</t>
  </si>
  <si>
    <t>jistič 10A/3f/B</t>
  </si>
  <si>
    <t xml:space="preserve">jistič 16A/3f/B </t>
  </si>
  <si>
    <t>jistič 16A/3f/C</t>
  </si>
  <si>
    <t>rozvaděč R-DAT1</t>
  </si>
  <si>
    <t>rozvaděč R-DAT2</t>
  </si>
  <si>
    <t>Nástěná rozvodnice OCEP. 600x600x150, IP65</t>
  </si>
  <si>
    <t xml:space="preserve">vypínač 1f/25A </t>
  </si>
  <si>
    <t>Vybavení aktivními prvkami dle dodavatele internetu a jeho cenové nabídky</t>
  </si>
  <si>
    <t>19" RACK skříň 27U</t>
  </si>
  <si>
    <t>zásuvka na DIN lištu</t>
  </si>
  <si>
    <t>DIN lišta</t>
  </si>
  <si>
    <t>Vybavení aktivními prvkami dle dodavatele STA a jeho cenové nabídky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</si>
  <si>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</si>
  <si>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</si>
  <si>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</si>
  <si>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</si>
  <si>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</si>
  <si>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</si>
  <si>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</si>
  <si>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</si>
  <si>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</si>
  <si>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</si>
  <si>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</si>
  <si>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</si>
  <si>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</si>
  <si>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</si>
  <si>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</si>
  <si>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</si>
  <si>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</si>
  <si>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</si>
  <si>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</si>
  <si>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</si>
  <si>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</si>
  <si>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</si>
  <si>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</si>
  <si>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</si>
  <si>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</si>
  <si>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</si>
  <si>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</si>
  <si>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</si>
  <si>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</si>
  <si>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</si>
  <si>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</si>
  <si>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</si>
  <si>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</si>
  <si>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</si>
  <si>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</si>
  <si>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</si>
  <si>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</si>
  <si>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</si>
  <si>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</si>
  <si>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</si>
  <si>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</si>
  <si>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</si>
  <si>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</si>
  <si>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</si>
  <si>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</si>
  <si>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</si>
  <si>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</si>
  <si>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</si>
  <si>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ABB Tango, (vypínač), komplet</t>
  </si>
  <si>
    <t>ABB Tango, (střídavý), komplet</t>
  </si>
  <si>
    <t>ABB Tango, řazení 1/0So (tlačítko se signálkou), komplet, na chodby</t>
  </si>
  <si>
    <t>ABB Tango, (tlačítko se signálkou), komplet, IP45</t>
  </si>
  <si>
    <t>Tlačítko pod sklem (TOTAL STOP)</t>
  </si>
  <si>
    <t xml:space="preserve">Vnitřní infraspínač, komplet </t>
  </si>
  <si>
    <t xml:space="preserve">zásuvka </t>
  </si>
  <si>
    <t xml:space="preserve">dvojzásuvka </t>
  </si>
  <si>
    <t>dvojzásuvka s přepěťovou ochranou</t>
  </si>
  <si>
    <t>zásuvka ABB 230V/16A,IP43</t>
  </si>
  <si>
    <t>zásuvka ABB 400V/16A,IP43</t>
  </si>
  <si>
    <t>ABB datová dvojzásuvka</t>
  </si>
  <si>
    <t>ABB televizní zásuvka + SAT zásuvka</t>
  </si>
  <si>
    <t>Dvojrámeček ABB Tango</t>
  </si>
  <si>
    <t>Trojrámeček ABB Tango</t>
  </si>
  <si>
    <t>Čtyřrámeček ABB Tango</t>
  </si>
  <si>
    <t>Pětirámeček ABB Tango</t>
  </si>
  <si>
    <t>výkonový vypímač IP45</t>
  </si>
  <si>
    <t>Zvonek</t>
  </si>
  <si>
    <t>krabice přístrojová pod omítku KP</t>
  </si>
  <si>
    <t>krabice rozvodná pod omítku KR</t>
  </si>
  <si>
    <t>svorkovnice doplň.pospojení EROCOMM obj.č.1242</t>
  </si>
  <si>
    <t>svorkovnice doplň.pospojení EROCOMM obj.č.1243</t>
  </si>
  <si>
    <t>chránička pvc pr.16mm</t>
  </si>
  <si>
    <t>chránička pvc pr.50mm</t>
  </si>
  <si>
    <t>chránička KOPOFLEX KF09040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</si>
  <si>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</si>
  <si>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</si>
  <si>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</si>
  <si>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</si>
  <si>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</si>
  <si>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</si>
  <si>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</si>
  <si>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</si>
  <si>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</si>
  <si>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</si>
  <si>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</si>
  <si>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</si>
  <si>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</si>
  <si>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</si>
  <si>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</si>
  <si>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</si>
  <si>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</si>
  <si>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</si>
  <si>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</si>
  <si>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</si>
  <si>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Kabely, vodiče</t>
  </si>
  <si>
    <t>CYKY 3J 1,5</t>
  </si>
  <si>
    <t>CYKY 3O 1,5</t>
  </si>
  <si>
    <t>CYKY 4J 1,5</t>
  </si>
  <si>
    <t>CYKY 5J 1,5</t>
  </si>
  <si>
    <t>CYKY 3J 2,5</t>
  </si>
  <si>
    <t>CYKY 5J 2,5</t>
  </si>
  <si>
    <t>CYKY 5J 6</t>
  </si>
  <si>
    <t>CYKY 5J 10</t>
  </si>
  <si>
    <t>PRAFlaDur® 3x1,5</t>
  </si>
  <si>
    <t>VCEOD 75-5,6</t>
  </si>
  <si>
    <t>UTP cat.6</t>
  </si>
  <si>
    <t>AY 2,5 - protahovací drát</t>
  </si>
  <si>
    <t xml:space="preserve">CYA 6 </t>
  </si>
  <si>
    <t xml:space="preserve">CYA 16 </t>
  </si>
  <si>
    <t>4.11</t>
  </si>
  <si>
    <t>4.12</t>
  </si>
  <si>
    <t>4.13</t>
  </si>
  <si>
    <t>4.14</t>
  </si>
  <si>
    <t>4.15</t>
  </si>
  <si>
    <t>Základový zemnič</t>
  </si>
  <si>
    <t>FeZn pr.8mm</t>
  </si>
  <si>
    <t>JV 2,0</t>
  </si>
  <si>
    <t>OSD</t>
  </si>
  <si>
    <t>SJ1b</t>
  </si>
  <si>
    <t xml:space="preserve">PV </t>
  </si>
  <si>
    <t xml:space="preserve">SZ </t>
  </si>
  <si>
    <t>PV 01</t>
  </si>
  <si>
    <t>SO</t>
  </si>
  <si>
    <t>SK</t>
  </si>
  <si>
    <t>SS</t>
  </si>
  <si>
    <t>SP</t>
  </si>
  <si>
    <t>Ochranný trojúhelník</t>
  </si>
  <si>
    <t>Pásek FeZn 30x4</t>
  </si>
  <si>
    <t>FeZn pr.10mm</t>
  </si>
  <si>
    <t>SR 02</t>
  </si>
  <si>
    <t>SR 03</t>
  </si>
  <si>
    <t>zinkový sprej</t>
  </si>
  <si>
    <t>gumoasfalt 10kg/bal</t>
  </si>
  <si>
    <t>Doprava a přesuny</t>
  </si>
  <si>
    <t>Zemní práce pro elektro</t>
  </si>
  <si>
    <t>EZS</t>
  </si>
  <si>
    <t>CCTV</t>
  </si>
  <si>
    <t>6.4</t>
  </si>
  <si>
    <t>6.5</t>
  </si>
  <si>
    <t>6.6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</si>
  <si>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</si>
  <si>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</si>
  <si>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</si>
  <si>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</si>
  <si>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</si>
  <si>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</si>
  <si>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</si>
  <si>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</si>
  <si>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</si>
  <si>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Ústředna EZS 8 podsystémů</t>
  </si>
  <si>
    <t>Box</t>
  </si>
  <si>
    <t>Baterie 18Ah</t>
  </si>
  <si>
    <t xml:space="preserve">Klávesnice </t>
  </si>
  <si>
    <t>Pohybový det. Sběrnicový</t>
  </si>
  <si>
    <t>Magnetický kontakt</t>
  </si>
  <si>
    <t>IR závora 30m</t>
  </si>
  <si>
    <t>GSM modul</t>
  </si>
  <si>
    <t>Ostatní materiál</t>
  </si>
  <si>
    <t>NVR 8 vstupů</t>
  </si>
  <si>
    <t>HDD 2TB</t>
  </si>
  <si>
    <t>PC monitor</t>
  </si>
  <si>
    <t>Kamera 2MPix vnitřní, doome</t>
  </si>
  <si>
    <t>Podkladová krabice</t>
  </si>
  <si>
    <t>1) Bourání a demolice + sanace</t>
  </si>
  <si>
    <t>D.1.6.1 - elektro SIL+SLA</t>
  </si>
  <si>
    <t>D.1.6.2 - EZS+CCTV</t>
  </si>
  <si>
    <t>OS.2</t>
  </si>
  <si>
    <t xml:space="preserve">997013111 </t>
  </si>
  <si>
    <t xml:space="preserve">Vnitrostaveništní doprava suti a vybouraných hmot pro budovy v do 6 m s použitím mechanizace </t>
  </si>
  <si>
    <t>Skladba sanačního omítkového souvrství v exteriéru v=0,8-2,0m, HI pouze v=0,8-1,0m</t>
  </si>
  <si>
    <t>HI nad terén - zbývající část do v=1,0m</t>
  </si>
  <si>
    <t xml:space="preserve"> =(12,3+7,6+2,9+32,5+7,7+19,2)*(1-0,8)</t>
  </si>
  <si>
    <t>HI nad terén v=0,5m</t>
  </si>
  <si>
    <t>odpočet část skladby SI2</t>
  </si>
  <si>
    <t>odpočet sklada SI4</t>
  </si>
  <si>
    <t>Skladba s keramickým obkladem - pouze sanační vrstvy</t>
  </si>
  <si>
    <t>311238650.R001</t>
  </si>
  <si>
    <t xml:space="preserve">Zdivo jednovrstvé tepelně izolační z cihel broušených P10 s vnitřní izolací z minerální vlny na tenkovrstvou maltu U přes 0,18 do 0,22 W/m2K tl 300 mm </t>
  </si>
  <si>
    <t>místnosti dle tabulky - plocha snížena o 25% - mezery mezi prkny</t>
  </si>
  <si>
    <t xml:space="preserve">palubky obkladové smrk profil klasický 19x121mm jakost A/B </t>
  </si>
  <si>
    <t xml:space="preserve">773993905 </t>
  </si>
  <si>
    <t xml:space="preserve">Ošetření podlahy z litého teraca polymerním voskem </t>
  </si>
  <si>
    <t>nátěr krov sloupy</t>
  </si>
  <si>
    <t xml:space="preserve"> =((6,66+3,62)*2+(4,57+6,66)*2+(4,9+3,7+1,3)*2+(5,9+3,7+4,7+5,9+6,1+6,6+6,3+3,2+5,6+5,4+4+2,5)*2+1,6*4)*0,7</t>
  </si>
  <si>
    <t>Položení polštáře pod podlahy při osové vzdálenosti 65 cm</t>
  </si>
  <si>
    <t xml:space="preserve">řezivo jehličnaté boční prkno 20-30mm </t>
  </si>
  <si>
    <t>Položení podlahy z hoblovaných prken na pero a drážku</t>
  </si>
  <si>
    <t>Odstranění náletových dřevin</t>
  </si>
  <si>
    <t xml:space="preserve">Odstranění nevhodných dřevin přes 500 m2 v přes 1 m s odstraněním pařezů v rovině nebo svahu do 1:5 </t>
  </si>
  <si>
    <t>pozemek 125/1</t>
  </si>
  <si>
    <t>odhad cca 10kg/m2</t>
  </si>
  <si>
    <t xml:space="preserve">Vodorovné přemístění přes 4 do 5 km zelené hmoty bez naložení se složením </t>
  </si>
  <si>
    <t xml:space="preserve">183554149 </t>
  </si>
  <si>
    <t xml:space="preserve">Příplatek ZKD 1 km vodorovného přemístění zelené hmoty </t>
  </si>
  <si>
    <t>Poplatek za uložení na skládce (skládkovné) z rostlinných pletiv kód odpadu 02 01 03</t>
  </si>
  <si>
    <t>odhad max 50% celkové plochy</t>
  </si>
  <si>
    <t>Zrušení napojení demolovaného objektu veřejné WC</t>
  </si>
  <si>
    <t>7.7</t>
  </si>
  <si>
    <t xml:space="preserve">Demontáž krytiny keramické hladké sklonu do 30° na sucho k dalšímu použití </t>
  </si>
  <si>
    <t xml:space="preserve">Čištění krytiny keramické kladené na sucho </t>
  </si>
  <si>
    <t xml:space="preserve">Čištění krytiny keramické hřebenů nebo nároží z hřebenáčů na sucho </t>
  </si>
  <si>
    <t>hřeben</t>
  </si>
  <si>
    <t>nároží</t>
  </si>
  <si>
    <t xml:space="preserve">pás tepelně izolační univerzální λ=0,032-0,033 tl 160mm </t>
  </si>
  <si>
    <t>Střecha nad historickým objektem - severní křídlo - pod hřebenem - rovná</t>
  </si>
  <si>
    <t>Střecha nad historickým objektem - jižní křídlo - pod hřebenem - rovná</t>
  </si>
  <si>
    <t xml:space="preserve">766417211 </t>
  </si>
  <si>
    <t xml:space="preserve">Montáž podkladového roštu pro obložení stěn </t>
  </si>
  <si>
    <t>první vrstva</t>
  </si>
  <si>
    <t>druhá vrstva</t>
  </si>
  <si>
    <t>Montáž obložení stěn pl přes 5 m2 palubkami z měkkého dřeva š přes 80 do 100 mm</t>
  </si>
  <si>
    <t xml:space="preserve">766421213 </t>
  </si>
  <si>
    <t>Montáž obložení podhledů jednoduchých palubkami z měkkého dřeva š přes 80 do 100 mm</t>
  </si>
  <si>
    <t xml:space="preserve">hranol stavební řezivo průřezu do 120cm2 do dl 6m </t>
  </si>
  <si>
    <t xml:space="preserve">Montáž parotěsné zábrany do SDK příčky </t>
  </si>
  <si>
    <t xml:space="preserve">Jemné obroušení podkladu truhlářských konstrukcí před provedením nátěru </t>
  </si>
  <si>
    <t>nátěr obklad dřevo</t>
  </si>
  <si>
    <t xml:space="preserve">Oprášení podkladu truhlářských konstrukcí před provedením nátěru </t>
  </si>
  <si>
    <t xml:space="preserve">Lazurovací jednonásobný olejový nátěr truhlářských konstrukcí </t>
  </si>
  <si>
    <t>MW80</t>
  </si>
  <si>
    <t>MW180</t>
  </si>
  <si>
    <t xml:space="preserve">pás tepelně izolační univerzální λ=0,032-0,033 tl 180mm </t>
  </si>
  <si>
    <t xml:space="preserve">pás tepelně izolační univerzální λ=0,032-0,033 tl 80mm </t>
  </si>
  <si>
    <t>MW200</t>
  </si>
  <si>
    <t>MW50</t>
  </si>
  <si>
    <t>MW160</t>
  </si>
  <si>
    <t xml:space="preserve">pás tepelně izolační univerzální λ=0,032-0,033 tl 50mm </t>
  </si>
  <si>
    <t xml:space="preserve">Bednění střech rovných sklon do 60° z desek OSB tl 25 mm na pero a drážku šroubovaných na krokve </t>
  </si>
  <si>
    <t>deska izolační PIR s oboustrannou kompozitní fólií s hliníkovou vložkou pro ploché střechy tl 120mm</t>
  </si>
  <si>
    <t>Montáž ocelových kcí zastřešení vazníky nebo krovy hmotnosti prvku do 30 kg/m dl do 12 m</t>
  </si>
  <si>
    <t xml:space="preserve">profil ocelový svařovaný jakost S235 průřez čtvercový 80x80x6mm </t>
  </si>
  <si>
    <t>S.3 - S.4</t>
  </si>
  <si>
    <t>skladba S.3a</t>
  </si>
  <si>
    <t xml:space="preserve"> =2,75*2,4</t>
  </si>
  <si>
    <t>Podlahy</t>
  </si>
  <si>
    <t>S.3a</t>
  </si>
  <si>
    <t>Střecha nad novým vstupem v 2.NP</t>
  </si>
  <si>
    <t>Střecha nad novým vikýřem</t>
  </si>
  <si>
    <t xml:space="preserve">Strukturovaná oddělovací rohož s integrovanou pojistnou hydroizolací jakékoliv rš </t>
  </si>
  <si>
    <t>skladba P.6 - dlažba</t>
  </si>
  <si>
    <t>skladba P.6 - epoxid</t>
  </si>
  <si>
    <t>skladba St.6</t>
  </si>
  <si>
    <t xml:space="preserve"> =(3,83+1,1*2)*2,76+15,1+11,6+9,56*2,9-(0,85*2,1+0,85*1,97+0,8*1,97+1,2*1,97)</t>
  </si>
  <si>
    <t xml:space="preserve"> =(0,4+1,35)*3,38+(3,165+3,2+0,9+1,5*2)*3,26</t>
  </si>
  <si>
    <t xml:space="preserve">763111431 </t>
  </si>
  <si>
    <t xml:space="preserve">SDK příčka tl 100 mm profil CW+UW 50 desky 2xH2 12,5 s izolací EI 60 Rw do 51 dB </t>
  </si>
  <si>
    <t xml:space="preserve"> =(2,685*2+0,9)*2,16</t>
  </si>
  <si>
    <t xml:space="preserve"> =7,4*4,2/2+(0,9+6,23)*4,2+(2,25+2,75+1,1+0,72+0,7+2,75+0,68)*3,5+1,085*1,75+1,1*2,28</t>
  </si>
  <si>
    <t>Osazení obrubníku kamenného ležatého s boční opěrou do lože z betonu prostého</t>
  </si>
  <si>
    <t>žulová obruba vjezd</t>
  </si>
  <si>
    <t xml:space="preserve">obrubník kamenný žulový přímý 1000x300x200mm </t>
  </si>
  <si>
    <t>IPE 120, 160, 180 a 200</t>
  </si>
  <si>
    <t xml:space="preserve"> =0,25*0,5*2,4*2+0,65*2,36*0,3+0,8*0,85*0,15*6+(3,7*3,77-1,25*2)*0,4+0,2*0,3*2,2*2+1,4*2,25*0,3+0,8*0,2*2,8+16*0,4*2,75*2+0,75*0,28*2*2,435</t>
  </si>
  <si>
    <t xml:space="preserve"> =2*2,15+2,8*6+3,5*4+2,28*2+2,1*2+1,9*3+2,5+3</t>
  </si>
  <si>
    <t>EPS 20-30</t>
  </si>
  <si>
    <t xml:space="preserve">712771231 </t>
  </si>
  <si>
    <t xml:space="preserve">Provedení drenážní vrstvy vegetační střechy z tvarovaných desek sklon do 5° </t>
  </si>
  <si>
    <t>28323.R001</t>
  </si>
  <si>
    <t>folie drenážní tl. 8mm</t>
  </si>
  <si>
    <t xml:space="preserve"> =(1,4+1,5)*2*(0,25*0,6)*12</t>
  </si>
  <si>
    <t xml:space="preserve"> =(1,06*2,33)*2</t>
  </si>
  <si>
    <t xml:space="preserve"> =9,56*1,2+3,42*1,5+4,78*1,3</t>
  </si>
  <si>
    <t xml:space="preserve"> =(1,5+0,6*2)*3,3</t>
  </si>
  <si>
    <t>763131.991</t>
  </si>
  <si>
    <t>SDK instalační kastlík pro zaputěná svítidla v protipožárním podhledu</t>
  </si>
  <si>
    <t>Ing. arch. Bořek Peška</t>
  </si>
  <si>
    <t>D.1.1.36_SPECIFIKACE VÝPLNÍ VNĚJŠÍCH OTVORŮ</t>
  </si>
  <si>
    <t>A/DVEŘE VSTUPNÍ - HISTORIZUJÍCÍ TRUHLÁŘSKÉ KAZETOVÉ / EUROPROFILY</t>
  </si>
  <si>
    <t>HLAVNÍ VSTUP DVOUKŘÍDLÝ, ČÁSTEČNÉ PROSKLENÝ, stavební otvor 1800x2950mm, detailní specifikace viz PD</t>
  </si>
  <si>
    <t>Výpis materiálu osahuje dodávku a montáž základního materiálu pro danou akci. Dodávka akce se předpokládá včetně souvisejícího doplňkového, podružného a montážního materiálu tak, aby celé dílo bylo bezvadné a funkční a splňovalo všechny předpisy, které se na ně vztahují.</t>
  </si>
  <si>
    <t>O.7</t>
  </si>
  <si>
    <t>O.8</t>
  </si>
  <si>
    <t>O.9</t>
  </si>
  <si>
    <t>O.10</t>
  </si>
  <si>
    <t>O.11</t>
  </si>
  <si>
    <t>O.12</t>
  </si>
  <si>
    <t>O.13</t>
  </si>
  <si>
    <t>O.14</t>
  </si>
  <si>
    <t>O.15</t>
  </si>
  <si>
    <t>O.16</t>
  </si>
  <si>
    <t>VSTUP DO OBCHODU DVOUKŘÍDLÝ, ČÁSTEČNÉ PROSKLENÝ, stavební otvor 1800x2500mm, detailní specifikace viz PD</t>
  </si>
  <si>
    <t>VSTUP DO KANCELÁŘÍ JEDNOKŘÍDLÝ, ČÁSTEČNÉ PROSKLENÝ, stavební otvor 1000x2050mm, detailní specifikace viz PD</t>
  </si>
  <si>
    <t>VSTUP DO INFOCENTRA DVOUKŘÍDLÝ, PROSKLENÝ, OTVÍRAVÝ VEN, stavební otvor 2000x2400mm, detailní specifikace viz PD</t>
  </si>
  <si>
    <t>B/DVEŘE VSTUPNÍ HLINÍKOVÉ</t>
  </si>
  <si>
    <t>VSTUP NA PAVLAČ DVOUKŘÍDLÝ, PROSKLENÝ, stavební otvor 1480x2400mm, detailní specifikace viz PD</t>
  </si>
  <si>
    <t>DVORNÍ VSTUP DVOUKŘÍDLÝ, PROSKLENÝ, stavební otvor 6160x3000mm, detailní specifikace viz PD</t>
  </si>
  <si>
    <t>Plocha</t>
  </si>
  <si>
    <t>Ks</t>
  </si>
  <si>
    <t>Celkem množství</t>
  </si>
  <si>
    <t>C/OKNA EUROPROFILY IV92</t>
  </si>
  <si>
    <t>C/OKNA EUROPROFILY IV78</t>
  </si>
  <si>
    <t>O.20</t>
  </si>
  <si>
    <t>O.21</t>
  </si>
  <si>
    <t>O.22</t>
  </si>
  <si>
    <t>O.30</t>
  </si>
  <si>
    <t>O.31</t>
  </si>
  <si>
    <t>OKNO PRŮČELNÍ FIXNÍ, stavební otvor 2960x2450mm, detailní specifikace viz PD</t>
  </si>
  <si>
    <t>OKNO S NADSVĚTLÍKEM, stavební otvor 2150x2000mm, detailní specifikace viz PD</t>
  </si>
  <si>
    <t>OKNO S NADSVĚTLÍKEM, stavební otvor 2100x2000mm, detailní specifikace viz PD</t>
  </si>
  <si>
    <t>OKNO S NADSVĚTLÍKEM, stavební otvor 1580x2000mm, detailní specifikace viz PD</t>
  </si>
  <si>
    <t>OKNO S NADSVĚTLÍKEM, stavební otvor 2850x2000mm, detailní specifikace viz PD</t>
  </si>
  <si>
    <t>OKNO OTVÍRAVÉ SYMETRICKÉ, stavební otvor 1000x1370mm, detailní specifikace viz PD</t>
  </si>
  <si>
    <t>OKNO OTVÍRAVÉ SYMETRICKÉ, stavební otvor 1060x1550mm, detailní specifikace viz PD</t>
  </si>
  <si>
    <t>OKNO OTVÍRAVÉ SYMETRICKÉ, stavební otvor 1020x1260mm, detailní specifikace viz PD</t>
  </si>
  <si>
    <t>OKNO OTVÍRAVÉ SYMETRICKÉ, stavební otvor 1020x1490mm, detailní specifikace viz PD</t>
  </si>
  <si>
    <t>D/OKNA TRUHLÁŘSKÁ, REPASOVANÁ/NOVÁ</t>
  </si>
  <si>
    <t>OKNO OVÁLNÉ, REPASE, rozměr cca 700x450mm, detailní specifikace viz PD</t>
  </si>
  <si>
    <t>OKNO OTVÍRAVÉ SYMETRICKÉ ŠPALETOVÉ S POUTCEM, REPASE, rozměr ext 1020x1680, int 1180x1860mm, detailní specifikace viz PD</t>
  </si>
  <si>
    <t>OKNO OTVÍRAVÉ SYMETRICKÉ ŠPALETOVÉ S POUTCEM, REPASE, rozměr ext 520x1680, int 680x1860mm, detailní specifikace viz PD</t>
  </si>
  <si>
    <t>O.23 EXT</t>
  </si>
  <si>
    <t>O.23 INT</t>
  </si>
  <si>
    <t>O.24 EXT</t>
  </si>
  <si>
    <t>O.24 INT</t>
  </si>
  <si>
    <t>OKNO OTVÍRAVÉ SYMETRICKÉ ŠPALETOVÉ S POUTCEM, NOVÉ, rozměr ext 1125x1745mm, int 1125x1745mm, detailní specifikace viz PD</t>
  </si>
  <si>
    <t>OKNO OTVÍRAVÉ SYMETRICKÉ ŠPALETOVÉ S POUTCEM, NOVÉ, rozměr 1125x1745mm, detailní specifikace viz PD</t>
  </si>
  <si>
    <t>OKNO OTVÍRAVÉ SYMETRICKÉ ŠPALETOVÉ S POUTCEM, NOVÉ, rozměr 1050x1675mm, detailní specifikace viz PD</t>
  </si>
  <si>
    <t>OKNO OTVÍRAVÉ SYMETRICKÉ ŠPALETOVÉ S POUTCEM, REPASOVANÉ, rozměr 1125x1745mm, detailní specifikace viz PD</t>
  </si>
  <si>
    <t>OKNO OTVÍRAVÉ SYMETRICKÉ ŠPALETOVÉ S POUTCEM, REPASOVANÉ, rozměr 1050x1675mm, detailní specifikace viz PD</t>
  </si>
  <si>
    <t>E/OKNA STŘEŠNÍ TYPOVÁ</t>
  </si>
  <si>
    <t>OKNO STŘEŠNÍ stavební otvor 700x700mm, detailní specifikace viz PD</t>
  </si>
  <si>
    <t>OKNO STŘEŠNÍ stavební otvor 760x800mm, detailní specifikace viz PD</t>
  </si>
  <si>
    <t>D.1.1.37_SPECIFIKACE INTERIÉROVÝCH DVEŘÍ</t>
  </si>
  <si>
    <t>DVEŘE DVOUKŘÍDLÉ, ČÁSTEČNÉ PROSKLENÉ, S POŽ. ODOLNOSTÍ, rozměr 1600x2250mm, detailní specifikace viz PD</t>
  </si>
  <si>
    <t>LEVÉ</t>
  </si>
  <si>
    <t>PRAVÉ</t>
  </si>
  <si>
    <t>CELKEM</t>
  </si>
  <si>
    <t>DVEŘE JEDNOKŘÍDLÉ PLNÉ, rozměr 800x2100mm, detailní specifikace viz PD</t>
  </si>
  <si>
    <t>DVEŘE JEDNOKŘÍDLÉ PLNÉ, S POŽ. ODOLNOSTÍ, rozměr 800x2100mm, detailní specifikace viz PD</t>
  </si>
  <si>
    <t>DVEŘE JEDNOKŘÍDLÉ PLNÉ, S POŽ. ODOLNOSTÍ, rozměr 800x1970mm, detailní specifikace viz PD</t>
  </si>
  <si>
    <t>DVEŘE JEDNOKŘÍDLÉ, ČÁSTEČNĚ PROSKLENÉ, rozměr 800x1970mm, detailní specifikace viz PD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</si>
  <si>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</si>
  <si>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</si>
  <si>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</si>
  <si>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</si>
  <si>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</si>
  <si>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</si>
  <si>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</si>
  <si>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</si>
  <si>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</si>
  <si>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</si>
  <si>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D.20</t>
  </si>
  <si>
    <t>D.21</t>
  </si>
  <si>
    <t>D.22</t>
  </si>
  <si>
    <t>DVEŘE JEDNOKŘÍDLÉ PLNÉ, S POŽ. ODOLNOSTÍ, rozměr 850x1970mm, detailní specifikace viz PD</t>
  </si>
  <si>
    <t>DVEŘE DVOUKŘÍDLÉ, PLNÉ, S POŽ. ODOLNOSTÍ, rozměr 1250x2225mm, detailní specifikace viz PD</t>
  </si>
  <si>
    <t>DVEŘE DVOUKŘÍDLÉ, PLNÉ, rozměr 1250x2225mm, detailní specifikace viz PD</t>
  </si>
  <si>
    <t>DVEŘE DVOUKŘÍDLÉ, ČÁSTEČNÉ PROSKLENÉ, rozměr 1250x2225mm, detailní specifikace viz PD</t>
  </si>
  <si>
    <t>A/DVEŘE HISTORIZUJÍCÍ KAZETOVÉ TRUHLÁŘSKÉ V OBLOŽKOVÉ ZÁRUBNI</t>
  </si>
  <si>
    <t>B/DVEŘE VOŠTINOVÉ V OCELOVÉ ZÁRUBNI</t>
  </si>
  <si>
    <t>DVEŘE JEDNOKŘÍDLÉ, PLNÉ, NA WC, rozměr 700x1970mm, detailní specifikace viz PD</t>
  </si>
  <si>
    <t>DVEŘE JEDNOKŘÍDLÉ, PLNÉ, DO ZÁZEMÍ, rozměr 700x1970mm, detailní specifikace viz PD</t>
  </si>
  <si>
    <t>DVEŘE JEDNOKŘÍDLÉ, PLNÉ, DO ZÁZEMÍ, rozměr 600x1970mm, detailní specifikace viz PD</t>
  </si>
  <si>
    <t>DVEŘE DVOUKŘÍDLÉ, PLNÉ, S POŽ. ODOLNOSTÍ, rozměr 1200x1970mm, detailní specifikace viz PD</t>
  </si>
  <si>
    <t>C/DVEŘE HLINÍKOVÉ</t>
  </si>
  <si>
    <t>D.25</t>
  </si>
  <si>
    <t>D.26</t>
  </si>
  <si>
    <t>D.27</t>
  </si>
  <si>
    <t>DVEŘE S FIXNÍ ČÁSTÍ, PROSKLENÉ, S POŽ. ODOLNOSTÍ, rozměr 2400x2310mm, detailní specifikace viz PD</t>
  </si>
  <si>
    <t>DVEŘE S NADSVĚTLÍKEM, PROSKLENÉ, S POŽ. ODOLNOSTÍ, rozměr 1400x2800mm, detailní specifikace viz PD</t>
  </si>
  <si>
    <t>DVEŘE PROSKLENÉ, rozměr 1030x2300mm, detailní specifikace viz PD</t>
  </si>
  <si>
    <t>D/SANITÁRNÍ PŘÍČKY</t>
  </si>
  <si>
    <t>SANITÁRNÍ STĚNA, rozměr 1700x2600mm, detailní specifikace viz PD</t>
  </si>
  <si>
    <t>SANITÁRNÍ STĚNA MEZI PŘEDSÍNÍ A  PISOÁRY, rozměr 1700x2600mm, detailní specifikace viz PD</t>
  </si>
  <si>
    <t>SANITÁRNÍ STĚNA, rozměr 1855x2600 + 1180x2600mm, detailní specifikace viz PD</t>
  </si>
  <si>
    <t>D.1.1.38_SPECIFIKACE KLEMPÍŘSKÝCH PRVKŮ</t>
  </si>
  <si>
    <t>PŮLKULOVÝ OKAPNÍ ŽLAB, TiZn předzvětralý, rš 330mm, detailní specifikace viz PD</t>
  </si>
  <si>
    <t>DEŠŤOVÉ SVODY KULATÉ 100 mm, TiZn předzvětralý, průměr 100mm, detailní specifikace viz PD</t>
  </si>
  <si>
    <t>HRANATÝ OKAPNÍ ŽLAB, TiZn předzvětralý, rš 250mm, detailní specifikace viz PD</t>
  </si>
  <si>
    <t>DEŠŤOVÝ SVOD HRANATÝ, TiZn předzvětralý, rš 320mm, detailní specifikace viz PD</t>
  </si>
  <si>
    <t>OPLECHOVÁNÍ ATIKY, TiZn předzvětralý, rš 455mm, detailní specifikace viz PD</t>
  </si>
  <si>
    <t>K.5a</t>
  </si>
  <si>
    <t>K.5b</t>
  </si>
  <si>
    <t>OPLECHOVÁNÍ ATIKY, TiZn předzvětralý, rš 305mm, detailní specifikace viz PD</t>
  </si>
  <si>
    <t>K.6</t>
  </si>
  <si>
    <t>ZÁVĚTRNÁ LIŠTA HORNÍ, TiZn předzvětralý, rš 150mm, detailní specifikace viz PD</t>
  </si>
  <si>
    <t>K.7a</t>
  </si>
  <si>
    <t>PARAPETNÍ PLECH, TiZn předzvětralý, rš 220mm, detailní specifikace viz PD</t>
  </si>
  <si>
    <t>K.7b</t>
  </si>
  <si>
    <t>K.7c</t>
  </si>
  <si>
    <t>PARAPETNÍ PLECH, TiZn předzvětralý, rš 245mm, detailní specifikace viz PD</t>
  </si>
  <si>
    <t>PARAPETNÍ PLECH, TiZn předzvětralý, rš 295mm, detailní specifikace viz PD</t>
  </si>
  <si>
    <t>K.8a</t>
  </si>
  <si>
    <t>K.8b</t>
  </si>
  <si>
    <t>OPLECHOVÁNÍ ŘÍMSY, TiZn předzvětralý, rš 130mm, detailní specifikace viz PD</t>
  </si>
  <si>
    <t>OPLECHOVÁNÍ ŘÍMSY, TiZn předzvětralý, rš 570mm, detailní specifikace viz PD</t>
  </si>
  <si>
    <t>K.9</t>
  </si>
  <si>
    <t>K.10</t>
  </si>
  <si>
    <t>PLECHOVÝ OBKLAD FALCOVANÝ, TiZn předzvětralý, detailní specifikace viz PD</t>
  </si>
  <si>
    <t>PLECHOVÁ KRYTINA FALCOVANÁ, TiZn předzvětralý, detailní specifikace viz PD</t>
  </si>
  <si>
    <t>K.11</t>
  </si>
  <si>
    <t>K.12</t>
  </si>
  <si>
    <t>K.13</t>
  </si>
  <si>
    <t>K.14</t>
  </si>
  <si>
    <t>OPLECHOVÁNÍ VZT VIKÝŘE, TiZn předzvětralý, detailní specifikace viz PD</t>
  </si>
  <si>
    <t>LEMOVÁNÍ U STĚNY S VODNÍ DRÁŽKOU, TiZn předzvětralý, rš 515mm, detailní specifikace viz PD</t>
  </si>
  <si>
    <t>LEMOVÁNÍ U STĚNY, TiZn předzvětralý, rš 375mm, detailní specifikace viz PD</t>
  </si>
  <si>
    <t>LEMOVÁNÍ U ŽLABU, TiZn předzvětralý, rš 335mm, detailní specifikace viz PD</t>
  </si>
  <si>
    <t>D.1.1.39_SPECIFIKACE ZÁMEČNICKÝCH PRVKŮ</t>
  </si>
  <si>
    <t>Z.4</t>
  </si>
  <si>
    <t>Z.5</t>
  </si>
  <si>
    <t>Z.6</t>
  </si>
  <si>
    <t>Z.7</t>
  </si>
  <si>
    <t>Z.8</t>
  </si>
  <si>
    <t>Z.9</t>
  </si>
  <si>
    <t>Z.10</t>
  </si>
  <si>
    <t>Z.11</t>
  </si>
  <si>
    <t>VRATA NA DVŮR S OTVÍRAVÝM A FIXNÍM POLEM, detailní specifikace viz PD</t>
  </si>
  <si>
    <t>DVÍŘKA, PŘÍSTŘEŠEK NA POPELNICE, detailní specifikace viz PD</t>
  </si>
  <si>
    <t>MARKÝZA NAD PAVLAČÍ, detailní specifikace viz PD</t>
  </si>
  <si>
    <t>ZÁBRADLÍ NA PAVLAČI, detailní specifikace viz PD</t>
  </si>
  <si>
    <t>MARKÝZA NAD BOČNÍM VSTUPEM, detailní specifikace viz PD</t>
  </si>
  <si>
    <t>VÝSTRČ, detailní specifikace viz PD</t>
  </si>
  <si>
    <t>ZÁBRADLÍ PŘED OKNY, detailní specifikace viz PD</t>
  </si>
  <si>
    <t>Z.14</t>
  </si>
  <si>
    <t>Z.15</t>
  </si>
  <si>
    <t>POROROŠT PŘED PROSKLENÝM PORTÁLEM, detailní specifikace viz PD</t>
  </si>
  <si>
    <t>MŘÍŽ DO SKLADU, detailní specifikace viz PD</t>
  </si>
  <si>
    <t>Z.12a</t>
  </si>
  <si>
    <t>MADLO NA SCHODIŠTI V INTERIÉRU, detailní specifikace viz PD</t>
  </si>
  <si>
    <t>Z.12b</t>
  </si>
  <si>
    <t>Z.12c</t>
  </si>
  <si>
    <t>Z.12d</t>
  </si>
  <si>
    <t>Z.12e</t>
  </si>
  <si>
    <t>Z.12f</t>
  </si>
  <si>
    <t>Z.12g</t>
  </si>
  <si>
    <t>Z.12h</t>
  </si>
  <si>
    <t>Z.13a</t>
  </si>
  <si>
    <t>Z.13b</t>
  </si>
  <si>
    <t>Z.13c</t>
  </si>
  <si>
    <t>ZÁBRADLÍ U SVĚTLÍKU, detailní specifikace viz PD</t>
  </si>
  <si>
    <t>DVÍŘKA, NIKA PRO VENKOVNÍ KOHOUT, detailní specifikace viz PD</t>
  </si>
  <si>
    <t>D.1.1.40_SPECIFIKACE TRUHLÁŘSKÝCH PRVKŮ</t>
  </si>
  <si>
    <t>T.1a</t>
  </si>
  <si>
    <t>T.1b</t>
  </si>
  <si>
    <t>T.2a</t>
  </si>
  <si>
    <t>T.2b</t>
  </si>
  <si>
    <t>INTERIÉROVÝ PARAPET ŠPALETOVÁ OKNA, detailní specifikace viz PD</t>
  </si>
  <si>
    <t>INTERIÉROVÝ PARAPET EUROOKNA , detailní specifikace viz PD</t>
  </si>
  <si>
    <t>DŘEVĚNÉ SCHODIŠTĚ PŘÍMÉ 6 stupňů, detailní specifikace viz PD</t>
  </si>
  <si>
    <t>DŘEVĚNÉ SCHODIŠTĚ PŘÍMÉ 10 stupňů, detailní specifikace viz PD</t>
  </si>
  <si>
    <t>D.1.1.41_SPECIFIKACE OSTATNÍCH PRVKŮ</t>
  </si>
  <si>
    <t>OS.3</t>
  </si>
  <si>
    <t>OS.4</t>
  </si>
  <si>
    <t>OS.5</t>
  </si>
  <si>
    <t>OS.6</t>
  </si>
  <si>
    <t>OS.7</t>
  </si>
  <si>
    <t>OS.9</t>
  </si>
  <si>
    <t>OS.10</t>
  </si>
  <si>
    <t>OS.11</t>
  </si>
  <si>
    <t>OS.1a</t>
  </si>
  <si>
    <t>OPLOCENÍ výplně, detailní specifikace viz PD</t>
  </si>
  <si>
    <t>OS.1b</t>
  </si>
  <si>
    <t>OPLOCENÍ sloupky, detailní specifikace viz PD</t>
  </si>
  <si>
    <t>ČISTÍCÍ ZÓNA 1800x1000mm, detailní specifikace viz PD</t>
  </si>
  <si>
    <t>ELEKTROINSTALAČNÍ ŠACHTA, detailní specifikace viz PD</t>
  </si>
  <si>
    <t>POJISTNÝ ZAATIKOVÝ PŘEPAD, detailní specifikace viz PD</t>
  </si>
  <si>
    <t>STŘEŠNÍ NÁŠLAP, detailní specifikace viz PD</t>
  </si>
  <si>
    <t>PROTIDEŠŤOVÁ ŽALUZIE, detailní specifikace viz PD</t>
  </si>
  <si>
    <t>NOVÁ ZÁKRYTOVÁ DESKA KOMÍNU, detailní specifikace viz PD</t>
  </si>
  <si>
    <t>OS.8a</t>
  </si>
  <si>
    <t>REVIZNÍ DVÍŘKA se skrytým rámečkem 400x400mm, detailní specifikace viz PD</t>
  </si>
  <si>
    <t>OS.8b</t>
  </si>
  <si>
    <t>OS.8c</t>
  </si>
  <si>
    <t>REVIZNÍ DVÍŘKA se skrytým rámečkem 1000x1000mm, detailní specifikace viz PD</t>
  </si>
  <si>
    <t>REVIZNÍ DVÍŘKA se skrytým rámečkem 900x1800mm, detailní specifikace viz PD</t>
  </si>
  <si>
    <t>PŘEBALOVACÍ PULT SKLÁPĚCÍ, detailní specifikace viz PD</t>
  </si>
  <si>
    <t>HYDRANT, detailní specifikace viz PD</t>
  </si>
  <si>
    <t>OSOBNÍ VÝTAH, detailní specifikace viz PD</t>
  </si>
  <si>
    <t>Pisoárový ventil automatický, tlačítkový - viz specifikace SA.1</t>
  </si>
  <si>
    <t>Umývadlová stojánková se zvedákem - viz specifikace SA.2 + SA.2b</t>
  </si>
  <si>
    <t>Nástěnná bez sprchové sady - viz specifikace SA.3</t>
  </si>
  <si>
    <t>Sprchová sada se sprchovou tyčí - viz specifikace SA.3</t>
  </si>
  <si>
    <t>S otočným výtokem bez sprchy - viz specifikace SA.4</t>
  </si>
  <si>
    <t>Výlevková nástěnná s ramínkem 210mm - viz specifikace SA.5</t>
  </si>
  <si>
    <t>Ramínko, chrom 150mm - viz specifikace SA.5</t>
  </si>
  <si>
    <t>Pisoár – horní přívod vody, bílý 305x290x565 - viz specifikace SA.9</t>
  </si>
  <si>
    <t>Odtokový žlab se sifonem pro sprchy, mřížka nerez délka 700mm - viz specifikace SA.12</t>
  </si>
  <si>
    <t>Zástěna sprchového koutu - viz specifikace SA.13</t>
  </si>
  <si>
    <t>Kuchyňský dřez nerezový - pouze příprava, bez dodávky</t>
  </si>
  <si>
    <t>Závěsná výlevka s mřížkou, bílá - viz specifikace SA.15</t>
  </si>
  <si>
    <t>11) Střešní vpusti s elektrickým otápěním</t>
  </si>
  <si>
    <t>Střešní vtok tepelně izolovaný, PVC příruba, DN75, HL62.1/7</t>
  </si>
  <si>
    <t>12) Dešťová kanalizace v zemi, PVC SN4</t>
  </si>
  <si>
    <t>13) Upevnění potrubí</t>
  </si>
  <si>
    <t>14) Ostatní práce a dodávky</t>
  </si>
  <si>
    <t>1.12</t>
  </si>
  <si>
    <t>Protidešťová žaluzie 800x500 se sítem, RAL dle výběru architekta</t>
  </si>
  <si>
    <t>24071-5120</t>
  </si>
  <si>
    <t>Umístění ve střešním vikýři (výkresy "Půdorysu krovu, řez C2-C2*)</t>
  </si>
  <si>
    <t xml:space="preserve">Zaslepení potrubí 300x200 </t>
  </si>
  <si>
    <t>Montáž zaslepení</t>
  </si>
  <si>
    <t>Potrubní rozvody z technické místnosti do 2.NP (výkresy "řez A-A*)</t>
  </si>
  <si>
    <t>2.56</t>
  </si>
  <si>
    <t>2.57</t>
  </si>
  <si>
    <t>vzorec pro 20km</t>
  </si>
  <si>
    <t>vzorec pro 20km celkem, zde tedy dopočet 10 km nad</t>
  </si>
  <si>
    <t>výpočet plochy SE1</t>
  </si>
  <si>
    <t xml:space="preserve"> =(12,3+7,6)*(1,1+2)/2</t>
  </si>
  <si>
    <t>výpočet plochy SE2</t>
  </si>
  <si>
    <t xml:space="preserve"> =2,9*0,6+(32,5+7,7+19,2)*0,4</t>
  </si>
  <si>
    <t>výpočet plochy SE3a</t>
  </si>
  <si>
    <t xml:space="preserve"> =(12,3+7,6+2,9+32,5+7,7+19,2)*0,8</t>
  </si>
  <si>
    <t>výpočet plochy SE3b</t>
  </si>
  <si>
    <t xml:space="preserve"> =(12,3+7,6+2,9+32,5+7,7+19,2)*(2-0,8)</t>
  </si>
  <si>
    <t>výpočet plochy SI1</t>
  </si>
  <si>
    <t>výpočet plochy SI2</t>
  </si>
  <si>
    <t xml:space="preserve"> =6,86+11,21+(2,6+4,3+4,2+1,4)*2*2,1</t>
  </si>
  <si>
    <t>výpočet plochy SI4</t>
  </si>
  <si>
    <t xml:space="preserve"> =(6,7+1,6+6,7+3,7+4,1)*2</t>
  </si>
  <si>
    <t>výpočet plochy P1</t>
  </si>
  <si>
    <t xml:space="preserve"> =28,19+23,93+18,07+4,92+40,52+27,72+22,76+20+17,25+30,611</t>
  </si>
  <si>
    <t xml:space="preserve"> =11,21+4,24+2,92</t>
  </si>
  <si>
    <t>výpočet plochy P2</t>
  </si>
  <si>
    <t xml:space="preserve"> =plocha x tloušťka 12cm</t>
  </si>
  <si>
    <t xml:space="preserve"> =plocha x tloušťka 10cm</t>
  </si>
  <si>
    <t xml:space="preserve"> =((6,66+3,62)*2+(4,57+6,66)*2+(4,9+3,7+1,3)*2+(5,9+3,7+4,7+5,9+6,1+6,6+6,3+3,2+5,6+5,4+4+2,5)*2+1,6*4)*2-stěny sklepy - skladba SI4</t>
  </si>
  <si>
    <t xml:space="preserve">mřížka větrací kruhová se síťkou D 100mm </t>
  </si>
  <si>
    <t>odvětrávací hlavice pro odvětrání podlah, D=100mm</t>
  </si>
  <si>
    <t>odkaz - plocha zdiva obvodového</t>
  </si>
  <si>
    <t>odkaz - plocha zdiva vnitřního</t>
  </si>
  <si>
    <t xml:space="preserve">Penetrační disperzní nátěr vnitřních stěn nanášený ručně </t>
  </si>
  <si>
    <t>vzorec pro 60 dní</t>
  </si>
  <si>
    <t>odkazy - plochy skladeb x počet pásů</t>
  </si>
  <si>
    <t>celkem plocha</t>
  </si>
  <si>
    <t>výpočet plochy St.8</t>
  </si>
  <si>
    <t>výpočet plochy S.1</t>
  </si>
  <si>
    <t xml:space="preserve"> =6,5*2*(18,7+12,4)/2</t>
  </si>
  <si>
    <t>výpočet plochy S.1a</t>
  </si>
  <si>
    <t xml:space="preserve"> =2,3*(12,4+3)</t>
  </si>
  <si>
    <t>výpočet plochy S.1b</t>
  </si>
  <si>
    <t>výpočet plochy S.2</t>
  </si>
  <si>
    <t xml:space="preserve"> =4,2*2*(23,6+32,3)/2</t>
  </si>
  <si>
    <t>výpočet plochy S.2a</t>
  </si>
  <si>
    <t>výpočet plochy S.2b</t>
  </si>
  <si>
    <t xml:space="preserve"> =1,8*(23,6)</t>
  </si>
  <si>
    <t xml:space="preserve"> =2,75*1,25+2,22*2,56</t>
  </si>
  <si>
    <t xml:space="preserve"> =16,84+14,96+9,65</t>
  </si>
  <si>
    <t>výpočet plochy S.3</t>
  </si>
  <si>
    <t>výpočet plochy S.3a</t>
  </si>
  <si>
    <t>výpočet plochy P.9</t>
  </si>
  <si>
    <t>DVEŘE JEDNOKŘÍDLÉ, PLNÉ, S POŽ. ODOLNOSTÍ, rozměr 900x1970mm, detailní specifikace viz PD</t>
  </si>
  <si>
    <t>Z.16</t>
  </si>
  <si>
    <t>Z.17</t>
  </si>
  <si>
    <t>MADLO NA SCHODIŠTI V INTERIÉRU, REPASE, detailní specifikace viz PD</t>
  </si>
  <si>
    <t>DVEŘNÍ MADLO, ROVNÉ, detailní specifikace viz PD</t>
  </si>
  <si>
    <t>D+M - nerez profily rohové a ukončovací</t>
  </si>
  <si>
    <t>Zábory, místní poplatky a dopravní omezení včetně DIO</t>
  </si>
  <si>
    <t>3.27</t>
  </si>
  <si>
    <t>Sada pro nouzovou signalizaci - 3280B-C10001 B</t>
  </si>
  <si>
    <t>Dílenská a výrobní dokumentace, vzorkování</t>
  </si>
  <si>
    <t>Náklady na opatření BOZP při výstavbě</t>
  </si>
  <si>
    <t>Ostatní náklady stavby z důvodů prací na památkovém objektu</t>
  </si>
  <si>
    <t>OS.12</t>
  </si>
  <si>
    <t>VĚTRACÍ KOMÍNEK DN 125, detailní specifikace viz PD</t>
  </si>
  <si>
    <t xml:space="preserve">Základové desky ze ŽB pro konstrukce bílých van tř. C 30/37 </t>
  </si>
  <si>
    <t xml:space="preserve">Základová zeď ze ŽB pro konstrukce bílých van tř. C 30/37 </t>
  </si>
  <si>
    <t>projektové dokumentace ve stupni DPS z 04/2023</t>
  </si>
  <si>
    <t>Elektrický zásobník závěsný 523x318, v=617mm, ref. standard OKHE ONE 30</t>
  </si>
  <si>
    <t>Elektrický zásobník závěsný 523x318, v=845mm, ref. standard OKHE ONE 50</t>
  </si>
  <si>
    <t>Elektrický zásobník 10l horní připojení 290x275, v=473mm, ref. standard TO10.1IN</t>
  </si>
  <si>
    <t>Elektrický zásobník 5l horní připojení 290x275, v=338mm, ref. standard TO5.1IN</t>
  </si>
  <si>
    <t>Elektrický zásobník 5l spodní připojení 290x275, v=330mm, ref. standard TO5.1UP</t>
  </si>
  <si>
    <t>Kombinovaná armatura zabezpečení DN20, ref. standard Dražice 417543</t>
  </si>
  <si>
    <t>Kombinovaná armatura zabezpečení DN15, ref. standard Dražice 417543</t>
  </si>
  <si>
    <t>Šachtové dno (potrubí DN200) 600 , ref. Standard TBZ Q PERFECT 200-685</t>
  </si>
  <si>
    <t>Šachtová skruž, výška 500mm 500, ref. standard TBS Q 500/1000/120-SP</t>
  </si>
  <si>
    <t>Šachtová skruž – kónus 600, ref. standard TBR Q 600/1000 x 625/120SPK</t>
  </si>
  <si>
    <t>Beton-Litina poklop D400 s odvětráním 160, ref. standard BEGU KDB 02</t>
  </si>
  <si>
    <t>Ponorné automatické čerpadlo 6“ s plovákem a sací soupravou, 230V, 750W, ref. standard Divertron X 1200 M</t>
  </si>
  <si>
    <t>Plynový závěsný kondenzační kotel, ref. standard GB192-35i W K1,2</t>
  </si>
  <si>
    <t>Otopná tělesa KORADO, ref. Standard</t>
  </si>
  <si>
    <t>TYP C1 - referenční standard WD RAY CEILING SUSPENDED 2.0 PAR16, bílá  - 217120W0</t>
  </si>
  <si>
    <t>rozeta, referenční standard WD RAY SINGLE BASE, bílá  - 90052022</t>
  </si>
  <si>
    <t xml:space="preserve">sv. zdroj, referenční standard CorePro LEDspot ND 4,6-50W GU10 865 36D 6500K, 390lm, Ra 80 - </t>
  </si>
  <si>
    <t>TYP D  - referenční standard HALLA RUNDO 500, LED 3000K, 4500lm, bílá/ opál - 190-250K-10GGEI/830, W</t>
  </si>
  <si>
    <t>TYP Da - referenční standard HALLA RUNDO 600  LED 3000K, 6000lm, bílá/ opál - 190-260K-10GHE/830, W – 6000lm</t>
  </si>
  <si>
    <t xml:space="preserve">TYP Db - referenční standard HALLA RUNDO 600  LED 3000K, 6790lm, bílá/ opál - 190-260K-10GHE/830, W </t>
  </si>
  <si>
    <t xml:space="preserve">TYP Dc - referenční standard HALLA RUNDO 600 D/I  LED 3000K, 5500lm, bílá/ mikroprisma - 190-261I-10GGEi/830, W </t>
  </si>
  <si>
    <t xml:space="preserve">TYP De - referenční standard HALLA RUNDO 600 D/I  LED 3000K, 4500lm, bílá/ mikroprisma - 190-261I-10GGEi/830, W </t>
  </si>
  <si>
    <t>TYP D1  - referenční standard HALLA RUNDO 400, LED 3000K, 3000lm, bílá/ opál - 190-240K-10GGEI/830, W</t>
  </si>
  <si>
    <t>TYP D1 N - referenční standard HALLA RUNDO 400, LED 3000K, 3000lm,1h nouzový inverter,  bílá/ opál - 190-240K-10GGMI/830, W</t>
  </si>
  <si>
    <t>TYP D2  - referenční standard HALLA RUNDO 400, LED 3000K, 2500lm, bílá/ opál - 190-240K-10GGEI/830, W</t>
  </si>
  <si>
    <t>TYP D2 N - referenční standard HALLA RUNDO 400, LED 3000K, 2500lm,1h nouzový inverter,  bílá/ opál - 190-240K-10GGMI/830, W</t>
  </si>
  <si>
    <t>TYP D3 - referenční standard OSMONT AURA 8, LED 3000K, 1270lm, IP44, bílá/ opál - 59440</t>
  </si>
  <si>
    <t>TYP D3N - referenční standard OSMONT AURA 8, LED 3000K, 1270lm, IP44,1h nouzový inverter, bílá/ opál - 59444</t>
  </si>
  <si>
    <t>TYP D3m - referenční standard OSMONT AURA 8, LED 3000K, 1270lm, IP44, bílá/ opál + límec mosazný - 59440 + 30070</t>
  </si>
  <si>
    <t>TYP D3Nm - referenční standard OSMONT AURA 8, LED 3000K, 1270lm, IP44, IP44,1h nouzový inverter, bílá/ opál + límec mosazný - 59444 + 30070</t>
  </si>
  <si>
    <t>TYP D4 - referenční standard OSMONT AURA 10, LED 3000K, 1800lm, IP44, bílá/ opál - 68041</t>
  </si>
  <si>
    <t>TYP D4N - referenční standard OSMONT AURA 10, LED 3000K, 1800lm, IP44,1h nouzový inverter, bílá/ opál - 68045</t>
  </si>
  <si>
    <t>TYP Em - referenční standard OSMONT STYX 4, LED 3000K, 3430lm, IP65, mosaz / opál - 61238</t>
  </si>
  <si>
    <t>TYP E1m - referenční standard OSMONT STYX 3, LED 3000K, 2610lm, IP65, mosaz / opál - 61248</t>
  </si>
  <si>
    <t>TYP EX1 - referenční standard SLV ESKINA , LED 3000K, 1000lm, IP65, antracit - 1002903</t>
  </si>
  <si>
    <t>TYP EX2 - referenční standard  iLED Cicada Single Emission , LED 3000K, 2234lm, IP65, bílá - 83622W00</t>
  </si>
  <si>
    <t>TYP F - referenční standard OSMONT ADRIA S4 HP, LED 3000K, 7810lm, IP40, stmívání tlačítkem, bílá / opál - 62221</t>
  </si>
  <si>
    <t>TYP F1 - referenční standard OSMONT ADRIA S3, LED 3000K, 3430lm, IP40,  mosaz / opál - 60345</t>
  </si>
  <si>
    <t>TYP G - referenční standard WD RAY MINI WALL 2.0 PAR16, bílá  - 301220W0</t>
  </si>
  <si>
    <t xml:space="preserve">sv. zdroj  - referenční standard CorePro LEDspot ND 4,6-50W GU10 865 36D 6500K, 390lm, Ra 80 - </t>
  </si>
  <si>
    <t>TYP H - VTREVOS PRIMA LED , LED 4000K, 1410lm, IP66,  šedá / čirá - 65020</t>
  </si>
  <si>
    <t>TYP J - referenční standard HALLA TURE, LED 3000K, 1980m, bílá / opál - 56-001K-10GHV/830, W + 00-00152E/1980lm</t>
  </si>
  <si>
    <t>TYP K  - referenční standard HALLA VALI 55- T, LED 3000K, 1650lm, 68° , bílá - 178-600W-10GGE/930, W</t>
  </si>
  <si>
    <t>TYP K1  - referenční standard HALLA VALI 80- T, LED 3000K, 2970lm, 68° , černá</t>
  </si>
  <si>
    <t>3F lišta 3m - referenční standard GLOBAL 3.O lišta 3m, bílá - XTS4300-3, black</t>
  </si>
  <si>
    <t>3F napaječ - referenční standard GLOBAL 3.O napájení, bílá  - XTS11-3, black</t>
  </si>
  <si>
    <t>3F koncovka - referenční standard GLOBAL 3.O koncovka - XTS41-2-3, black</t>
  </si>
  <si>
    <t>3F lišta 3m - referenční standard GLOBAL 3.O lišta 3m, bílá - XTS4300-3, white</t>
  </si>
  <si>
    <t>3F lišta 2m - referenční standard GLOBAL 3.O lišta 2m, bílá - XTS4200-3, white</t>
  </si>
  <si>
    <t>3F lišta 1m - referenční standard GLOBAL 3.O lišta 1m, bílá - XTS4100-3, white</t>
  </si>
  <si>
    <t>3F napaječ - referenční standard GLOBAL 3.O napájení, bílá  - XTS11-3, white</t>
  </si>
  <si>
    <t>3F spoj L - referenční standard GLOBAL 3.O spoj L, bílá - XTS34-3, white</t>
  </si>
  <si>
    <t>3F spojka - referenční standard GLOBAL 3.O spojka přímá - XTS21-2-3, white</t>
  </si>
  <si>
    <t>3F koncovka - referenční standard GLOBAL 3.O koncovka - XTS41-2-3, white</t>
  </si>
  <si>
    <t>TYP L1 - referenční standard HALLA LIPO 35 , 1408 mm, LED 3000K, 2360lm, bílá/ opál - 35-250K-30GEE/830, W</t>
  </si>
  <si>
    <t>TYP L2 - referenční standard HALLA LIPO 35 , 1688 mm, LED 3000K, 2770lm, bílá/ opál - 35-250K-30GEE/830, W</t>
  </si>
  <si>
    <t>TYP L2a - referenční standard HALLA LIPO 35 , 1688 mm, LED 3000K, 2770lm, bílá/ opál - 35-550K-30GEE/830, W</t>
  </si>
  <si>
    <t>TYP L2b - referenční standard HALLA LIPO 35 , 1688 mm, LED 3000K, 2770lm, bílá/ mikroprisma - 35-550I-30GEE/830, W</t>
  </si>
  <si>
    <t>TYP M - referenční standard HALLA LINA 45 , 1964 mm, LED 3000K, 6670lm, bílá/ opál - 45-501K-35GGE/830, W</t>
  </si>
  <si>
    <t>TYP Ma - referenční standard HALLA LINA 45 , 1964 mm, LED 3000K, 6140lm, bílá/ mikroprisma - 45-501I-35GGE/830, W</t>
  </si>
  <si>
    <t>TYP M1 - referenční standard HALLA LINA 45 , 1122 mm, LED 3000K,3330lm, bílá/ opál - 45-501K-20GGE/830, W</t>
  </si>
  <si>
    <t>TYP M2 - referenční standard HALLA LINA 45 , 2244  mm, LED 3000K,5050lm, bílá/ opál - 45-501K-40GEE/830, W</t>
  </si>
  <si>
    <t>TYP M3 - referenční standard HALLA LINA 45 , 1683  mm, LED 3000K,5550lm, bílá/ opál - 45-501K-30GGE/830, W</t>
  </si>
  <si>
    <t>TYP N - referenční standard SCHRACK KM , IP54, 1hod autonomnost, piktogram, autotest, viditelnost 24m, bílá - NLKMU033SC</t>
  </si>
  <si>
    <t>TYP N1 - referenční standard SCHRACK KT , IP54, 1hod autonomnost, piktogram, test tlačítko, viditelnost 16m, bílá - NLKTU003</t>
  </si>
  <si>
    <t>TYP N3 - referenční standard SEC _x0014__x0015__x0016__x0014__x0017__x0018__x0019__x001A__x001B__x001C__x001D__x001E__x0019__x001F__x0019__x0014__x0015__x0016__x0014__x0017__x0018__x0019__x001A__x001B__x001C__x001D__x001E__x0019__x001F__x0019_LEDLUX-SPOT3 B-P  , IP20, 1hod autonomnost, LED 225lm, autotest, antipanic, bílá - 344-B-103-04-00-01</t>
  </si>
  <si>
    <t>TYP N4 - referenční standard SEC _x0014__x0015__x0016__x0014__x0017__x0018__x0019__x001A__x001B__x001C__x001D__x001E__x0019__x001F__x0019__x0014__x0015__x0016__x0014__x0017__x0018__x0019__x001A__x001B__x001C__x001D__x001E__x0019__x001F__x0019_LEDLUX-SPOT3 A-P  , IP20, 1hod autonomnost, LED 225lm, autotest, antipanic corridor , bílá - 344-B-101-04-00-01</t>
  </si>
  <si>
    <t>TYP N5 - referenční standard SEC _x0014__x0015__x0016__x0014__x0017__x0018__x0019__x001A__x001B__x001C__x001D__x001E__x0019__x001F__x0019__x0014__x0015__x0016__x0014__x0017__x0018__x0019__x001A__x001B__x001C__x001D__x001E__x0019__x001F__x0019_TREND LUX 3-A , IP65, 1hod autonomnost, LED 300lm, exterior, autotest,  bílá - 341-B-013-04-00-00</t>
  </si>
  <si>
    <t>TYP N6 - referenční standard SEC _x0014__x0015__x0016__x0014__x0017__x0018__x0019__x001A__x001B__x001C__x001D__x001E__x0019__x001F__x0019__x0014__x0015__x0016__x0014__x0017__x0018__x0019__x001A__x001B__x001C__x001D__x001E__x0019__x001F__x0019_LEDLUX-SPOT- C  , IP20, 1hod autonomnost, LED 450lm,  autotest, fire equipment, bílá  - 182-b-248-04-00-01</t>
  </si>
  <si>
    <t>TYP P - referenční standard ENSTO JONO , 1200 mm, IP44, LED 3000K, 1790lm, bílá/ opál - AVR66.120L/3K</t>
  </si>
  <si>
    <t>TYP R  - referenční standard AQForm TUBA next 50 LED M930 36°, LED 3000K, 710lm, 36°, bílá - 46975-M930-F1-00-13</t>
  </si>
  <si>
    <t xml:space="preserve">Zásuvky, ovladače, krabice, motory, lišty - referenční standard </t>
  </si>
  <si>
    <t>Podomítkový set pro zazdění Basic WC systém compact - viz specifikace SA.8, včetně doplňků</t>
  </si>
  <si>
    <t>Dokumentace skutečného provedení trubních rozvodů</t>
  </si>
  <si>
    <t>Stavební sada odkouření přes šikmou střechu DN 80/125mm</t>
  </si>
  <si>
    <t>11 VKM8/500  11-050040-S0</t>
  </si>
  <si>
    <t>21 VKM8/500  21-050050-S0</t>
  </si>
  <si>
    <t>21 PLAN VKM8/500  21-050090-S0P</t>
  </si>
  <si>
    <t>21 VKM8/600  21-060040-S0</t>
  </si>
  <si>
    <t>21 VKM8/600  21-060050-S0</t>
  </si>
  <si>
    <t>21 VKM8/600  21-060060-S0</t>
  </si>
  <si>
    <t>21 VKM8/600  21-060070-S0</t>
  </si>
  <si>
    <t>21 VKM8/600  21-060080-S0</t>
  </si>
  <si>
    <t>21 VKM8/600  21-060090-S0</t>
  </si>
  <si>
    <t>21 PLAN VKM8/600  21-060160-S0P</t>
  </si>
  <si>
    <t>21 VKM8/900  21-090060-S0</t>
  </si>
  <si>
    <t>22 VKM8/300  22-030070-S0</t>
  </si>
  <si>
    <t>22 VKM8/300  22-030080-S0</t>
  </si>
  <si>
    <t>22 VKM8/500  22-050080-S0</t>
  </si>
  <si>
    <t>22 VKM8/600  22-060070-S0</t>
  </si>
  <si>
    <t>22 VKM8/600  22-060090-S0</t>
  </si>
  <si>
    <t>22 VKM8/700  22-070120-S0</t>
  </si>
  <si>
    <t>22 VKM8/900  22-090050-S0</t>
  </si>
  <si>
    <t>22 VKM8/900  22-090060-S0</t>
  </si>
  <si>
    <t>22 VKM8/900  22-090080-S0</t>
  </si>
  <si>
    <t>22 PLAN VKM8/900  22-090080-S0P</t>
  </si>
  <si>
    <t>33 PLAN VKM8/300  33-030120-S0P</t>
  </si>
  <si>
    <t>33 VKM8/300  33-030260-S0</t>
  </si>
  <si>
    <t>33 VKM8/400  33-040090-S0</t>
  </si>
  <si>
    <t>33 VKM8/400  33-040100-S0</t>
  </si>
  <si>
    <t>33 PLAN VKM8/500  33-050080-S0P</t>
  </si>
  <si>
    <t>33 PLAN VKM8/500  33-050090-S0P</t>
  </si>
  <si>
    <t>33 PLAN VKM8/500  33-050110-S0P</t>
  </si>
  <si>
    <t>33 VKM8/600  33-060080-S0</t>
  </si>
  <si>
    <t>33 PLAN VKM8/600  33-060090-S0P</t>
  </si>
  <si>
    <t>KLCM 1220  KLC-122075-00M</t>
  </si>
  <si>
    <t>KLCM 1820  KLC-182045-00M</t>
  </si>
  <si>
    <t>Systémová deska PDL 1400x800 (modul 50mm)</t>
  </si>
  <si>
    <t>REV01</t>
  </si>
  <si>
    <t>WC závěsné, hluboké splachování, bílé - viz specifikace SA.6, včetně doplňků a splachovacího tlačítka</t>
  </si>
  <si>
    <t>WC závěsné pro invalidy, bílé - viz specifikace SA.7, včetně doplňků a splachovacího tlačítka</t>
  </si>
  <si>
    <t>Umývadlo bílé 600 mm - viz specifikace SA.10, vč. doplňků, instalační sady a sifonu (chromovaná mosaz)</t>
  </si>
  <si>
    <t>Umývadlo pro invalidy, bílé 640 mm - viz specifikace SA.11, vč. doplňků, instalační sady a sifonu (chromovaná mosaz)</t>
  </si>
  <si>
    <t>5) Ostatní armatury a tvarovky - plynoměr včetně rozpěrky a regulátoru dodávkou poskytovatele plynu</t>
  </si>
  <si>
    <t>Šroubení s ventilem, komplet bílý M30x1,5 Multilux 4 SET, včetně termostatické hlavice</t>
  </si>
  <si>
    <t>Úprava popisů a položek ve vyznačených listech</t>
  </si>
  <si>
    <t>Z.2</t>
  </si>
  <si>
    <t>VRÁTKA NA DVŮR STÁVAJÍCÍ - demontáž, zabalení, uskladnění a zpětná montáž stávajícího prvku</t>
  </si>
</sst>
</file>

<file path=xl/styles.xml><?xml version="1.0" encoding="utf-8"?>
<styleSheet xmlns="http://schemas.openxmlformats.org/spreadsheetml/2006/main">
  <numFmts count="11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-;\-* #,##0.00_-;_-* &quot;-&quot;??_-;_-@_-"/>
    <numFmt numFmtId="165" formatCode="#,##0.00%"/>
    <numFmt numFmtId="166" formatCode="dd\.mm\.yyyy"/>
    <numFmt numFmtId="167" formatCode="#,##0.000"/>
    <numFmt numFmtId="168" formatCode="_-* #,##0_-;\-* #,##0_-;_-* &quot;-&quot;??_-;_-@_-"/>
    <numFmt numFmtId="169" formatCode="_-* #,##0.0\ &quot;Kč&quot;_-;\-* #,##0.0\ &quot;Kč&quot;_-;_-* &quot;-&quot;??\ &quot;Kč&quot;_-;_-@_-"/>
    <numFmt numFmtId="170" formatCode="0.0%"/>
    <numFmt numFmtId="171" formatCode="_-* #,##0.0000_-;\-* #,##0.0000_-;_-* &quot;-&quot;??_-;_-@_-"/>
  </numFmts>
  <fonts count="93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sz val="10"/>
      <name val="Univers (WN)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9"/>
      <color rgb="FF000000"/>
      <name val="Arial CE"/>
      <family val="2"/>
    </font>
    <font>
      <sz val="9"/>
      <color rgb="FF969696"/>
      <name val="Arial CE"/>
      <family val="2"/>
    </font>
    <font>
      <sz val="8"/>
      <color theme="0" tint="-0.3499799966812134"/>
      <name val="Arial CE"/>
      <family val="2"/>
    </font>
    <font>
      <sz val="10"/>
      <color rgb="FF464646"/>
      <name val="Arial CE"/>
      <family val="2"/>
    </font>
    <font>
      <sz val="8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color rgb="FF464646"/>
      <name val="Arial CE"/>
      <family val="2"/>
    </font>
    <font>
      <sz val="10"/>
      <color rgb="FF969696"/>
      <name val="Arial CE"/>
      <family val="2"/>
    </font>
    <font>
      <b/>
      <sz val="12"/>
      <color rgb="FF960000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b/>
      <sz val="10"/>
      <color rgb="FF003366"/>
      <name val="Arial CE"/>
      <family val="2"/>
    </font>
    <font>
      <sz val="8"/>
      <color rgb="FF505050"/>
      <name val="Arial CE"/>
      <family val="2"/>
    </font>
    <font>
      <i/>
      <sz val="8"/>
      <color rgb="FF0000FF"/>
      <name val="Arial CE"/>
      <family val="2"/>
    </font>
    <font>
      <sz val="10"/>
      <color theme="10"/>
      <name val="Arial CE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11"/>
      <color theme="1"/>
      <name val="Arial CE"/>
      <family val="2"/>
    </font>
    <font>
      <b/>
      <u val="single"/>
      <sz val="11"/>
      <name val="Arial CE"/>
      <family val="2"/>
    </font>
    <font>
      <i/>
      <sz val="8"/>
      <color indexed="10"/>
      <name val="Arial CE"/>
      <family val="2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 CE"/>
      <family val="2"/>
    </font>
    <font>
      <b/>
      <sz val="9"/>
      <color indexed="10"/>
      <name val="Times New Roman"/>
      <family val="1"/>
    </font>
    <font>
      <b/>
      <sz val="8"/>
      <color indexed="10"/>
      <name val="Arial CE"/>
      <family val="2"/>
    </font>
    <font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1"/>
      <name val="Arial CE"/>
      <family val="2"/>
    </font>
    <font>
      <b/>
      <sz val="9"/>
      <name val="Arial"/>
      <family val="2"/>
    </font>
    <font>
      <sz val="8"/>
      <color indexed="10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b/>
      <sz val="10"/>
      <color theme="1"/>
      <name val="Arial CE"/>
      <family val="2"/>
    </font>
    <font>
      <b/>
      <sz val="7"/>
      <color rgb="FF000000"/>
      <name val="Arial CE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Helv"/>
      <family val="2"/>
    </font>
    <font>
      <sz val="9"/>
      <color indexed="8"/>
      <name val="Arial"/>
      <family val="2"/>
    </font>
    <font>
      <sz val="8"/>
      <color theme="0" tint="-0.4999699890613556"/>
      <name val="Arial CE"/>
      <family val="2"/>
    </font>
    <font>
      <sz val="12"/>
      <color theme="0" tint="-0.4999699890613556"/>
      <name val="Arial CE"/>
      <family val="2"/>
    </font>
    <font>
      <sz val="10"/>
      <color theme="0" tint="-0.4999699890613556"/>
      <name val="Arial CE"/>
      <family val="2"/>
    </font>
    <font>
      <i/>
      <sz val="8"/>
      <color theme="0" tint="-0.4999699890613556"/>
      <name val="Arial CE"/>
      <family val="2"/>
    </font>
    <font>
      <sz val="9"/>
      <color theme="0" tint="-0.4999699890613556"/>
      <name val="Arial CE"/>
      <family val="2"/>
    </font>
    <font>
      <b/>
      <sz val="11"/>
      <color theme="0" tint="-0.4999699890613556"/>
      <name val="Arial CE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8"/>
      <name val="Times New Roman"/>
      <family val="1"/>
    </font>
    <font>
      <b/>
      <sz val="8"/>
      <name val="Arial CE"/>
      <family val="2"/>
    </font>
    <font>
      <b/>
      <sz val="8"/>
      <color theme="0" tint="-0.4999699890613556"/>
      <name val="Arial CE"/>
      <family val="2"/>
    </font>
    <font>
      <b/>
      <i/>
      <sz val="10"/>
      <name val="Arial"/>
      <family val="2"/>
    </font>
    <font>
      <sz val="10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PalmSprings"/>
      <family val="2"/>
    </font>
    <font>
      <sz val="10"/>
      <name val="Trebuchet MS"/>
      <family val="2"/>
    </font>
    <font>
      <i/>
      <sz val="10"/>
      <color indexed="60"/>
      <name val="Arial"/>
      <family val="2"/>
    </font>
    <font>
      <i/>
      <sz val="10"/>
      <color indexed="60"/>
      <name val="Arial CE"/>
      <family val="2"/>
    </font>
    <font>
      <b/>
      <i/>
      <u val="single"/>
      <sz val="10"/>
      <name val="Arial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  <font>
      <sz val="9"/>
      <color theme="0" tint="-0.3499799966812134"/>
      <name val="Arial CE"/>
      <family val="2"/>
    </font>
    <font>
      <b/>
      <sz val="8"/>
      <color rgb="FF003366"/>
      <name val="Arial CE"/>
      <family val="2"/>
    </font>
    <font>
      <i/>
      <sz val="8"/>
      <name val="Arial CE"/>
      <family val="2"/>
    </font>
  </fonts>
  <fills count="1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8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hair"/>
      <right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/>
      <top style="medium"/>
      <bottom style="medium"/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/>
      <top/>
      <bottom/>
    </border>
    <border>
      <left style="thin"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medium"/>
      <bottom style="hair"/>
    </border>
    <border>
      <left style="thin"/>
      <right style="hair"/>
      <top style="hair"/>
      <bottom style="hair"/>
    </border>
    <border>
      <left/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6" fillId="0" borderId="0">
      <alignment vertical="top"/>
      <protection/>
    </xf>
    <xf numFmtId="43" fontId="1" fillId="0" borderId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 vertical="top"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44" fontId="4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 vertical="top"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44" fontId="1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44" fontId="4" fillId="0" borderId="0" applyFont="0" applyFill="0" applyBorder="0" applyAlignment="0" applyProtection="0"/>
    <xf numFmtId="0" fontId="4" fillId="0" borderId="0" applyProtection="0">
      <alignment/>
    </xf>
    <xf numFmtId="43" fontId="2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 applyProtection="0">
      <alignment/>
    </xf>
    <xf numFmtId="43" fontId="2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0" borderId="0">
      <alignment/>
      <protection/>
    </xf>
    <xf numFmtId="0" fontId="2" fillId="0" borderId="0">
      <alignment/>
      <protection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83" fillId="0" borderId="0">
      <alignment/>
      <protection/>
    </xf>
  </cellStyleXfs>
  <cellXfs count="745">
    <xf numFmtId="0" fontId="0" fillId="0" borderId="0" xfId="0"/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0" fillId="3" borderId="0" xfId="0" applyFont="1" applyFill="1" applyAlignment="1">
      <alignment vertical="center"/>
    </xf>
    <xf numFmtId="0" fontId="12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0" fillId="0" borderId="0" xfId="20" applyFont="1" applyAlignment="1" applyProtection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10" fillId="4" borderId="0" xfId="0" applyFont="1" applyFill="1" applyAlignment="1">
      <alignment vertical="center"/>
    </xf>
    <xf numFmtId="0" fontId="31" fillId="0" borderId="0" xfId="87" applyFont="1" applyAlignment="1">
      <alignment vertical="center"/>
      <protection/>
    </xf>
    <xf numFmtId="44" fontId="4" fillId="0" borderId="0" xfId="88" applyFont="1" applyBorder="1" applyAlignment="1" applyProtection="1">
      <alignment vertical="center"/>
      <protection/>
    </xf>
    <xf numFmtId="164" fontId="4" fillId="0" borderId="0" xfId="77" applyFont="1" applyBorder="1" applyAlignment="1" applyProtection="1">
      <alignment vertical="center"/>
      <protection/>
    </xf>
    <xf numFmtId="0" fontId="8" fillId="0" borderId="0" xfId="87" applyFont="1" applyAlignment="1">
      <alignment vertical="center"/>
      <protection/>
    </xf>
    <xf numFmtId="164" fontId="31" fillId="0" borderId="0" xfId="77" applyFont="1" applyBorder="1" applyAlignment="1" applyProtection="1">
      <alignment horizontal="left" vertical="center"/>
      <protection/>
    </xf>
    <xf numFmtId="44" fontId="31" fillId="0" borderId="0" xfId="88" applyFont="1" applyBorder="1" applyAlignment="1" applyProtection="1">
      <alignment horizontal="left" vertical="center"/>
      <protection/>
    </xf>
    <xf numFmtId="164" fontId="53" fillId="5" borderId="21" xfId="77" applyFont="1" applyFill="1" applyBorder="1" applyAlignment="1" applyProtection="1">
      <alignment horizontal="center" vertical="center"/>
      <protection/>
    </xf>
    <xf numFmtId="164" fontId="54" fillId="0" borderId="22" xfId="77" applyFont="1" applyBorder="1" applyAlignment="1" applyProtection="1">
      <alignment vertical="center" wrapText="1"/>
      <protection/>
    </xf>
    <xf numFmtId="44" fontId="54" fillId="0" borderId="23" xfId="88" applyFont="1" applyBorder="1" applyAlignment="1" applyProtection="1">
      <alignment vertical="center" wrapText="1"/>
      <protection/>
    </xf>
    <xf numFmtId="44" fontId="47" fillId="0" borderId="24" xfId="88" applyFont="1" applyBorder="1" applyAlignment="1" applyProtection="1">
      <alignment vertical="center"/>
      <protection/>
    </xf>
    <xf numFmtId="44" fontId="55" fillId="0" borderId="24" xfId="88" applyFont="1" applyBorder="1" applyAlignment="1" applyProtection="1">
      <alignment vertical="center"/>
      <protection/>
    </xf>
    <xf numFmtId="164" fontId="55" fillId="0" borderId="25" xfId="77" applyFont="1" applyBorder="1" applyAlignment="1" applyProtection="1">
      <alignment horizontal="right" vertical="center"/>
      <protection/>
    </xf>
    <xf numFmtId="164" fontId="47" fillId="0" borderId="25" xfId="77" applyFont="1" applyBorder="1" applyAlignment="1" applyProtection="1">
      <alignment horizontal="right" vertical="center"/>
      <protection/>
    </xf>
    <xf numFmtId="164" fontId="4" fillId="0" borderId="0" xfId="77" applyFont="1" applyAlignment="1" applyProtection="1">
      <alignment vertical="center"/>
      <protection/>
    </xf>
    <xf numFmtId="44" fontId="4" fillId="0" borderId="0" xfId="88" applyFont="1" applyAlignment="1" applyProtection="1">
      <alignment vertical="center"/>
      <protection/>
    </xf>
    <xf numFmtId="164" fontId="4" fillId="6" borderId="26" xfId="77" applyFont="1" applyFill="1" applyBorder="1" applyAlignment="1" applyProtection="1">
      <alignment vertical="center"/>
      <protection/>
    </xf>
    <xf numFmtId="44" fontId="4" fillId="6" borderId="26" xfId="88" applyFont="1" applyFill="1" applyBorder="1" applyAlignment="1" applyProtection="1">
      <alignment vertical="center"/>
      <protection/>
    </xf>
    <xf numFmtId="164" fontId="9" fillId="0" borderId="27" xfId="77" applyFont="1" applyBorder="1" applyAlignment="1" applyProtection="1">
      <alignment horizontal="center" vertical="center"/>
      <protection/>
    </xf>
    <xf numFmtId="44" fontId="9" fillId="0" borderId="28" xfId="88" applyFont="1" applyBorder="1" applyAlignment="1" applyProtection="1">
      <alignment horizontal="center" vertical="center"/>
      <protection/>
    </xf>
    <xf numFmtId="164" fontId="8" fillId="0" borderId="29" xfId="77" applyFont="1" applyBorder="1" applyAlignment="1" applyProtection="1">
      <alignment horizontal="center" vertical="center"/>
      <protection/>
    </xf>
    <xf numFmtId="44" fontId="8" fillId="0" borderId="29" xfId="88" applyFont="1" applyBorder="1" applyAlignment="1" applyProtection="1">
      <alignment horizontal="center" vertical="center"/>
      <protection/>
    </xf>
    <xf numFmtId="164" fontId="8" fillId="0" borderId="21" xfId="77" applyFont="1" applyBorder="1" applyAlignment="1" applyProtection="1">
      <alignment horizontal="center" vertical="center"/>
      <protection/>
    </xf>
    <xf numFmtId="164" fontId="8" fillId="0" borderId="0" xfId="77" applyFont="1" applyBorder="1" applyAlignment="1" applyProtection="1">
      <alignment horizontal="center" vertical="center"/>
      <protection/>
    </xf>
    <xf numFmtId="44" fontId="8" fillId="0" borderId="0" xfId="88" applyFont="1" applyBorder="1" applyAlignment="1" applyProtection="1">
      <alignment horizontal="center" vertical="center"/>
      <protection/>
    </xf>
    <xf numFmtId="0" fontId="31" fillId="0" borderId="30" xfId="87" applyFont="1" applyBorder="1" applyAlignment="1">
      <alignment vertical="center" wrapText="1"/>
      <protection/>
    </xf>
    <xf numFmtId="0" fontId="33" fillId="0" borderId="31" xfId="87" applyFont="1" applyBorder="1" applyAlignment="1">
      <alignment horizontal="left" vertical="center" wrapText="1"/>
      <protection/>
    </xf>
    <xf numFmtId="0" fontId="34" fillId="0" borderId="0" xfId="87" applyFont="1" applyAlignment="1">
      <alignment vertical="center"/>
      <protection/>
    </xf>
    <xf numFmtId="0" fontId="10" fillId="5" borderId="32" xfId="87" applyFont="1" applyFill="1" applyBorder="1" applyAlignment="1">
      <alignment horizontal="center" vertical="center" wrapText="1"/>
      <protection/>
    </xf>
    <xf numFmtId="0" fontId="10" fillId="0" borderId="0" xfId="87" applyFont="1" applyAlignment="1">
      <alignment horizontal="center" vertical="center" wrapText="1"/>
      <protection/>
    </xf>
    <xf numFmtId="0" fontId="8" fillId="0" borderId="33" xfId="87" applyFont="1" applyBorder="1" applyAlignment="1">
      <alignment vertical="center" wrapText="1"/>
      <protection/>
    </xf>
    <xf numFmtId="0" fontId="8" fillId="0" borderId="34" xfId="87" applyFont="1" applyBorder="1" applyAlignment="1">
      <alignment horizontal="right" vertical="center"/>
      <protection/>
    </xf>
    <xf numFmtId="44" fontId="8" fillId="0" borderId="0" xfId="88" applyFont="1" applyAlignment="1" applyProtection="1">
      <alignment horizontal="right" vertical="center"/>
      <protection/>
    </xf>
    <xf numFmtId="0" fontId="40" fillId="0" borderId="28" xfId="87" applyFont="1" applyBorder="1" applyAlignment="1">
      <alignment horizontal="right" vertical="center"/>
      <protection/>
    </xf>
    <xf numFmtId="0" fontId="41" fillId="0" borderId="0" xfId="87" applyFont="1" applyAlignment="1">
      <alignment vertical="center" wrapText="1"/>
      <protection/>
    </xf>
    <xf numFmtId="0" fontId="8" fillId="0" borderId="34" xfId="87" applyFont="1" applyBorder="1" applyAlignment="1">
      <alignment horizontal="left" vertical="center"/>
      <protection/>
    </xf>
    <xf numFmtId="0" fontId="8" fillId="0" borderId="0" xfId="87" applyFont="1" applyAlignment="1">
      <alignment vertical="center" wrapText="1"/>
      <protection/>
    </xf>
    <xf numFmtId="44" fontId="8" fillId="0" borderId="34" xfId="88" applyFont="1" applyBorder="1" applyAlignment="1" applyProtection="1">
      <alignment horizontal="right" vertical="center"/>
      <protection/>
    </xf>
    <xf numFmtId="0" fontId="10" fillId="0" borderId="34" xfId="87" applyFont="1" applyBorder="1" applyAlignment="1">
      <alignment horizontal="left" vertical="center"/>
      <protection/>
    </xf>
    <xf numFmtId="0" fontId="42" fillId="0" borderId="0" xfId="87" applyFont="1" applyAlignment="1">
      <alignment vertical="center" wrapText="1"/>
      <protection/>
    </xf>
    <xf numFmtId="0" fontId="36" fillId="0" borderId="31" xfId="87" applyFont="1" applyBorder="1" applyAlignment="1">
      <alignment vertical="center" wrapText="1"/>
      <protection/>
    </xf>
    <xf numFmtId="0" fontId="8" fillId="0" borderId="0" xfId="87" applyFont="1" applyAlignment="1">
      <alignment horizontal="right" vertical="center"/>
      <protection/>
    </xf>
    <xf numFmtId="164" fontId="8" fillId="0" borderId="0" xfId="77" applyFont="1" applyAlignment="1" applyProtection="1">
      <alignment horizontal="center" vertical="center"/>
      <protection/>
    </xf>
    <xf numFmtId="0" fontId="46" fillId="7" borderId="35" xfId="87" applyFont="1" applyFill="1" applyBorder="1" applyAlignment="1">
      <alignment horizontal="right" vertical="center"/>
      <protection/>
    </xf>
    <xf numFmtId="44" fontId="46" fillId="7" borderId="35" xfId="88" applyFont="1" applyFill="1" applyBorder="1" applyAlignment="1" applyProtection="1">
      <alignment horizontal="right" vertical="center"/>
      <protection/>
    </xf>
    <xf numFmtId="44" fontId="45" fillId="7" borderId="35" xfId="88" applyFont="1" applyFill="1" applyBorder="1" applyAlignment="1" applyProtection="1">
      <alignment horizontal="right" vertical="center"/>
      <protection/>
    </xf>
    <xf numFmtId="0" fontId="10" fillId="0" borderId="0" xfId="87" applyFont="1" applyAlignment="1">
      <alignment horizontal="left" vertical="center"/>
      <protection/>
    </xf>
    <xf numFmtId="0" fontId="41" fillId="0" borderId="0" xfId="87" applyFont="1" applyAlignment="1">
      <alignment horizontal="left" vertical="center" wrapText="1"/>
      <protection/>
    </xf>
    <xf numFmtId="0" fontId="41" fillId="0" borderId="0" xfId="87" applyFont="1" applyAlignment="1">
      <alignment horizontal="center" vertical="center"/>
      <protection/>
    </xf>
    <xf numFmtId="164" fontId="41" fillId="0" borderId="0" xfId="77" applyFont="1" applyAlignment="1" applyProtection="1">
      <alignment horizontal="center" vertical="center"/>
      <protection/>
    </xf>
    <xf numFmtId="44" fontId="41" fillId="0" borderId="0" xfId="88" applyFont="1" applyAlignment="1" applyProtection="1">
      <alignment horizontal="center" vertical="center"/>
      <protection/>
    </xf>
    <xf numFmtId="44" fontId="48" fillId="0" borderId="0" xfId="88" applyFont="1" applyAlignment="1" applyProtection="1">
      <alignment horizontal="center" vertical="center"/>
      <protection/>
    </xf>
    <xf numFmtId="0" fontId="41" fillId="0" borderId="0" xfId="87" applyFont="1" applyAlignment="1">
      <alignment vertical="center"/>
      <protection/>
    </xf>
    <xf numFmtId="0" fontId="8" fillId="0" borderId="25" xfId="87" applyFont="1" applyBorder="1" applyAlignment="1">
      <alignment vertical="center" wrapText="1"/>
      <protection/>
    </xf>
    <xf numFmtId="0" fontId="8" fillId="0" borderId="25" xfId="87" applyFont="1" applyBorder="1" applyAlignment="1">
      <alignment horizontal="right" vertical="center"/>
      <protection/>
    </xf>
    <xf numFmtId="164" fontId="8" fillId="0" borderId="25" xfId="77" applyFont="1" applyBorder="1" applyAlignment="1" applyProtection="1">
      <alignment horizontal="center" vertical="center"/>
      <protection/>
    </xf>
    <xf numFmtId="44" fontId="8" fillId="0" borderId="25" xfId="88" applyFont="1" applyBorder="1" applyAlignment="1" applyProtection="1">
      <alignment horizontal="right" vertical="center"/>
      <protection/>
    </xf>
    <xf numFmtId="0" fontId="10" fillId="0" borderId="25" xfId="87" applyFont="1" applyBorder="1" applyAlignment="1">
      <alignment horizontal="left" vertical="center"/>
      <protection/>
    </xf>
    <xf numFmtId="164" fontId="10" fillId="5" borderId="32" xfId="77" applyFont="1" applyFill="1" applyBorder="1" applyAlignment="1" applyProtection="1">
      <alignment horizontal="center" vertical="center" wrapText="1"/>
      <protection/>
    </xf>
    <xf numFmtId="44" fontId="10" fillId="5" borderId="32" xfId="88" applyFont="1" applyFill="1" applyBorder="1" applyAlignment="1" applyProtection="1">
      <alignment horizontal="center" vertical="center" wrapText="1"/>
      <protection/>
    </xf>
    <xf numFmtId="44" fontId="10" fillId="5" borderId="36" xfId="88" applyFont="1" applyFill="1" applyBorder="1" applyAlignment="1" applyProtection="1">
      <alignment horizontal="center" vertical="center" wrapText="1"/>
      <protection/>
    </xf>
    <xf numFmtId="0" fontId="10" fillId="5" borderId="37" xfId="87" applyFont="1" applyFill="1" applyBorder="1" applyAlignment="1">
      <alignment horizontal="center" vertical="center" wrapText="1"/>
      <protection/>
    </xf>
    <xf numFmtId="164" fontId="8" fillId="0" borderId="34" xfId="77" applyFont="1" applyBorder="1" applyAlignment="1" applyProtection="1">
      <alignment horizontal="center" vertical="center"/>
      <protection/>
    </xf>
    <xf numFmtId="44" fontId="8" fillId="0" borderId="38" xfId="88" applyFont="1" applyBorder="1" applyAlignment="1" applyProtection="1">
      <alignment horizontal="right" vertical="center"/>
      <protection/>
    </xf>
    <xf numFmtId="0" fontId="10" fillId="0" borderId="39" xfId="87" applyFont="1" applyBorder="1" applyAlignment="1">
      <alignment horizontal="left" vertical="center"/>
      <protection/>
    </xf>
    <xf numFmtId="0" fontId="37" fillId="0" borderId="40" xfId="87" applyFont="1" applyBorder="1" applyAlignment="1">
      <alignment horizontal="center" vertical="center"/>
      <protection/>
    </xf>
    <xf numFmtId="164" fontId="37" fillId="0" borderId="40" xfId="77" applyFont="1" applyBorder="1" applyAlignment="1" applyProtection="1">
      <alignment horizontal="center" vertical="center"/>
      <protection/>
    </xf>
    <xf numFmtId="44" fontId="39" fillId="0" borderId="35" xfId="88" applyFont="1" applyBorder="1" applyAlignment="1" applyProtection="1">
      <alignment horizontal="right" vertical="center"/>
      <protection/>
    </xf>
    <xf numFmtId="164" fontId="42" fillId="0" borderId="34" xfId="77" applyFont="1" applyBorder="1" applyAlignment="1" applyProtection="1">
      <alignment horizontal="center" vertical="center"/>
      <protection/>
    </xf>
    <xf numFmtId="0" fontId="43" fillId="0" borderId="34" xfId="87" applyFont="1" applyBorder="1" applyAlignment="1">
      <alignment horizontal="left" vertical="center"/>
      <protection/>
    </xf>
    <xf numFmtId="0" fontId="42" fillId="0" borderId="40" xfId="87" applyFont="1" applyBorder="1" applyAlignment="1">
      <alignment horizontal="right" vertical="center"/>
      <protection/>
    </xf>
    <xf numFmtId="164" fontId="42" fillId="0" borderId="40" xfId="77" applyFont="1" applyBorder="1" applyAlignment="1" applyProtection="1">
      <alignment horizontal="right" vertical="center"/>
      <protection/>
    </xf>
    <xf numFmtId="0" fontId="42" fillId="0" borderId="34" xfId="87" applyFont="1" applyBorder="1" applyAlignment="1">
      <alignment horizontal="right" vertical="center"/>
      <protection/>
    </xf>
    <xf numFmtId="164" fontId="42" fillId="0" borderId="34" xfId="77" applyFont="1" applyBorder="1" applyAlignment="1" applyProtection="1">
      <alignment horizontal="right" vertical="center"/>
      <protection/>
    </xf>
    <xf numFmtId="0" fontId="45" fillId="7" borderId="31" xfId="87" applyFont="1" applyFill="1" applyBorder="1" applyAlignment="1">
      <alignment vertical="center" wrapText="1"/>
      <protection/>
    </xf>
    <xf numFmtId="164" fontId="31" fillId="7" borderId="35" xfId="77" applyFont="1" applyFill="1" applyBorder="1" applyAlignment="1" applyProtection="1">
      <alignment horizontal="right" vertical="center"/>
      <protection/>
    </xf>
    <xf numFmtId="0" fontId="40" fillId="7" borderId="28" xfId="87" applyFont="1" applyFill="1" applyBorder="1" applyAlignment="1">
      <alignment horizontal="right" vertical="center"/>
      <protection/>
    </xf>
    <xf numFmtId="44" fontId="63" fillId="0" borderId="0" xfId="87" applyNumberFormat="1" applyFont="1" applyAlignment="1">
      <alignment vertical="center"/>
      <protection/>
    </xf>
    <xf numFmtId="49" fontId="41" fillId="0" borderId="0" xfId="87" applyNumberFormat="1" applyFont="1" applyAlignment="1">
      <alignment vertical="center" wrapText="1"/>
      <protection/>
    </xf>
    <xf numFmtId="164" fontId="59" fillId="0" borderId="0" xfId="77" applyFont="1" applyAlignment="1" applyProtection="1">
      <alignment vertical="center"/>
      <protection/>
    </xf>
    <xf numFmtId="0" fontId="2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5" xfId="0" applyFont="1" applyBorder="1" applyAlignment="1">
      <alignment vertical="center"/>
    </xf>
    <xf numFmtId="164" fontId="61" fillId="0" borderId="0" xfId="77" applyFont="1" applyAlignment="1" applyProtection="1">
      <alignment vertical="center"/>
      <protection/>
    </xf>
    <xf numFmtId="0" fontId="10" fillId="0" borderId="4" xfId="0" applyFont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59" fillId="0" borderId="0" xfId="77" applyFont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26" fillId="0" borderId="4" xfId="0" applyFont="1" applyBorder="1" applyAlignment="1">
      <alignment vertical="center"/>
    </xf>
    <xf numFmtId="0" fontId="27" fillId="8" borderId="16" xfId="0" applyFont="1" applyFill="1" applyBorder="1" applyAlignment="1">
      <alignment horizontal="left" vertical="center"/>
    </xf>
    <xf numFmtId="0" fontId="26" fillId="0" borderId="5" xfId="0" applyFont="1" applyBorder="1" applyAlignment="1">
      <alignment vertical="center"/>
    </xf>
    <xf numFmtId="164" fontId="59" fillId="0" borderId="0" xfId="77" applyFont="1" applyFill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10" fillId="0" borderId="2" xfId="77" applyNumberFormat="1" applyFont="1" applyBorder="1" applyAlignment="1" applyProtection="1">
      <alignment vertical="center"/>
      <protection/>
    </xf>
    <xf numFmtId="0" fontId="10" fillId="0" borderId="0" xfId="77" applyNumberFormat="1" applyFont="1" applyBorder="1" applyAlignment="1" applyProtection="1">
      <alignment vertical="center"/>
      <protection/>
    </xf>
    <xf numFmtId="0" fontId="10" fillId="0" borderId="11" xfId="77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9" fontId="18" fillId="0" borderId="0" xfId="21" applyFont="1" applyBorder="1" applyAlignment="1" applyProtection="1">
      <alignment vertical="center"/>
      <protection/>
    </xf>
    <xf numFmtId="0" fontId="18" fillId="0" borderId="0" xfId="0" applyFont="1" applyAlignment="1">
      <alignment horizontal="right" vertical="center"/>
    </xf>
    <xf numFmtId="0" fontId="12" fillId="4" borderId="8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right" vertical="center"/>
    </xf>
    <xf numFmtId="0" fontId="12" fillId="4" borderId="9" xfId="0" applyFont="1" applyFill="1" applyBorder="1" applyAlignment="1">
      <alignment horizontal="center" vertical="center"/>
    </xf>
    <xf numFmtId="0" fontId="10" fillId="4" borderId="9" xfId="77" applyNumberFormat="1" applyFont="1" applyFill="1" applyBorder="1" applyAlignment="1" applyProtection="1">
      <alignment vertical="center"/>
      <protection/>
    </xf>
    <xf numFmtId="0" fontId="20" fillId="0" borderId="10" xfId="77" applyNumberFormat="1" applyFont="1" applyBorder="1" applyAlignment="1" applyProtection="1">
      <alignment horizontal="left" vertical="center"/>
      <protection/>
    </xf>
    <xf numFmtId="0" fontId="10" fillId="0" borderId="13" xfId="77" applyNumberFormat="1" applyFont="1" applyBorder="1" applyAlignment="1" applyProtection="1">
      <alignment vertical="center"/>
      <protection/>
    </xf>
    <xf numFmtId="0" fontId="21" fillId="0" borderId="15" xfId="77" applyNumberFormat="1" applyFont="1" applyBorder="1" applyAlignment="1" applyProtection="1">
      <alignment horizontal="left" vertical="center"/>
      <protection/>
    </xf>
    <xf numFmtId="0" fontId="10" fillId="0" borderId="19" xfId="77" applyNumberFormat="1" applyFont="1" applyBorder="1" applyAlignment="1" applyProtection="1">
      <alignment vertical="center"/>
      <protection/>
    </xf>
    <xf numFmtId="0" fontId="10" fillId="4" borderId="0" xfId="77" applyNumberFormat="1" applyFont="1" applyFill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164" fontId="60" fillId="0" borderId="0" xfId="77" applyFont="1" applyAlignment="1" applyProtection="1">
      <alignment vertical="center"/>
      <protection/>
    </xf>
    <xf numFmtId="0" fontId="24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77" applyNumberFormat="1" applyFont="1" applyBorder="1" applyAlignment="1" applyProtection="1">
      <alignment vertical="center"/>
      <protection/>
    </xf>
    <xf numFmtId="0" fontId="24" fillId="0" borderId="5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77" applyNumberFormat="1" applyFont="1" applyBorder="1" applyAlignment="1" applyProtection="1">
      <alignment vertical="center"/>
      <protection/>
    </xf>
    <xf numFmtId="0" fontId="8" fillId="4" borderId="42" xfId="0" applyFont="1" applyFill="1" applyBorder="1" applyAlignment="1">
      <alignment horizontal="center" vertical="center" wrapText="1"/>
    </xf>
    <xf numFmtId="0" fontId="8" fillId="4" borderId="41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7" applyNumberFormat="1" applyFont="1" applyFill="1" applyBorder="1" applyAlignment="1" applyProtection="1">
      <alignment horizontal="left" vertical="center"/>
      <protection/>
    </xf>
    <xf numFmtId="0" fontId="27" fillId="8" borderId="16" xfId="77" applyNumberFormat="1" applyFont="1" applyFill="1" applyBorder="1" applyAlignment="1" applyProtection="1">
      <alignment horizontal="left" vertical="center"/>
      <protection/>
    </xf>
    <xf numFmtId="164" fontId="59" fillId="9" borderId="0" xfId="77" applyFont="1" applyFill="1" applyAlignment="1" applyProtection="1">
      <alignment vertical="center"/>
      <protection/>
    </xf>
    <xf numFmtId="0" fontId="10" fillId="0" borderId="43" xfId="77" applyNumberFormat="1" applyFont="1" applyFill="1" applyBorder="1" applyAlignment="1" applyProtection="1">
      <alignment horizontal="center" vertical="center" wrapText="1"/>
      <protection/>
    </xf>
    <xf numFmtId="0" fontId="59" fillId="0" borderId="4" xfId="0" applyFont="1" applyBorder="1" applyAlignment="1">
      <alignment vertical="center"/>
    </xf>
    <xf numFmtId="0" fontId="59" fillId="0" borderId="41" xfId="77" applyNumberFormat="1" applyFont="1" applyFill="1" applyBorder="1" applyAlignment="1" applyProtection="1">
      <alignment vertical="center"/>
      <protection/>
    </xf>
    <xf numFmtId="0" fontId="59" fillId="0" borderId="0" xfId="0" applyFont="1" applyAlignment="1">
      <alignment vertical="center"/>
    </xf>
    <xf numFmtId="0" fontId="59" fillId="0" borderId="5" xfId="0" applyFont="1" applyBorder="1" applyAlignment="1">
      <alignment vertical="center"/>
    </xf>
    <xf numFmtId="0" fontId="29" fillId="0" borderId="43" xfId="77" applyNumberFormat="1" applyFont="1" applyFill="1" applyBorder="1" applyAlignment="1" applyProtection="1">
      <alignment horizontal="center" vertical="center" wrapText="1"/>
      <protection/>
    </xf>
    <xf numFmtId="164" fontId="10" fillId="8" borderId="43" xfId="77" applyFont="1" applyFill="1" applyBorder="1" applyAlignment="1" applyProtection="1">
      <alignment vertical="center"/>
      <protection/>
    </xf>
    <xf numFmtId="0" fontId="10" fillId="0" borderId="19" xfId="77" applyNumberFormat="1" applyFont="1" applyFill="1" applyBorder="1" applyAlignment="1" applyProtection="1">
      <alignment vertical="center"/>
      <protection/>
    </xf>
    <xf numFmtId="0" fontId="10" fillId="0" borderId="0" xfId="77" applyNumberFormat="1" applyFont="1" applyFill="1" applyAlignment="1" applyProtection="1">
      <alignment vertical="center"/>
      <protection/>
    </xf>
    <xf numFmtId="0" fontId="10" fillId="0" borderId="0" xfId="77" applyNumberFormat="1" applyFont="1" applyAlignment="1" applyProtection="1">
      <alignment vertical="center"/>
      <protection/>
    </xf>
    <xf numFmtId="164" fontId="62" fillId="0" borderId="0" xfId="77" applyFont="1" applyFill="1" applyAlignment="1" applyProtection="1">
      <alignment vertical="center"/>
      <protection/>
    </xf>
    <xf numFmtId="14" fontId="8" fillId="10" borderId="0" xfId="0" applyNumberFormat="1" applyFont="1" applyFill="1" applyAlignment="1" applyProtection="1">
      <alignment horizontal="left" vertical="center"/>
      <protection locked="0"/>
    </xf>
    <xf numFmtId="0" fontId="27" fillId="8" borderId="16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44" fontId="38" fillId="0" borderId="40" xfId="88" applyFont="1" applyBorder="1" applyAlignment="1" applyProtection="1">
      <alignment horizontal="right" vertical="center"/>
      <protection locked="0"/>
    </xf>
    <xf numFmtId="44" fontId="56" fillId="10" borderId="25" xfId="88" applyFont="1" applyFill="1" applyBorder="1" applyAlignment="1" applyProtection="1">
      <alignment horizontal="right" vertical="center" wrapText="1"/>
      <protection locked="0"/>
    </xf>
    <xf numFmtId="44" fontId="58" fillId="10" borderId="25" xfId="88" applyFont="1" applyFill="1" applyBorder="1" applyAlignment="1" applyProtection="1">
      <alignment horizontal="right" vertical="center"/>
      <protection locked="0"/>
    </xf>
    <xf numFmtId="44" fontId="65" fillId="0" borderId="25" xfId="88" applyFont="1" applyBorder="1" applyAlignment="1" applyProtection="1">
      <alignment horizontal="right" vertical="center"/>
      <protection locked="0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59" fillId="9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 wrapText="1"/>
    </xf>
    <xf numFmtId="164" fontId="10" fillId="0" borderId="0" xfId="77" applyFont="1" applyFill="1" applyAlignment="1" applyProtection="1">
      <alignment vertical="center"/>
      <protection/>
    </xf>
    <xf numFmtId="4" fontId="25" fillId="0" borderId="25" xfId="0" applyNumberFormat="1" applyFont="1" applyBorder="1" applyAlignment="1">
      <alignment vertical="center"/>
    </xf>
    <xf numFmtId="4" fontId="25" fillId="0" borderId="44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22" fillId="4" borderId="0" xfId="0" applyNumberFormat="1" applyFont="1" applyFill="1" applyAlignment="1">
      <alignment vertical="center"/>
    </xf>
    <xf numFmtId="4" fontId="25" fillId="0" borderId="0" xfId="0" applyNumberFormat="1" applyFont="1" applyAlignment="1">
      <alignment vertical="center"/>
    </xf>
    <xf numFmtId="168" fontId="23" fillId="0" borderId="0" xfId="77" applyNumberFormat="1" applyFont="1" applyBorder="1" applyAlignment="1" applyProtection="1">
      <alignment horizontal="left" vertical="center"/>
      <protection/>
    </xf>
    <xf numFmtId="168" fontId="24" fillId="0" borderId="0" xfId="77" applyNumberFormat="1" applyFont="1" applyBorder="1" applyAlignment="1" applyProtection="1">
      <alignment horizontal="left" vertical="center"/>
      <protection/>
    </xf>
    <xf numFmtId="168" fontId="25" fillId="0" borderId="0" xfId="77" applyNumberFormat="1" applyFont="1" applyBorder="1" applyAlignment="1" applyProtection="1">
      <alignment horizontal="left" vertical="center"/>
      <protection/>
    </xf>
    <xf numFmtId="168" fontId="22" fillId="4" borderId="0" xfId="77" applyNumberFormat="1" applyFont="1" applyFill="1" applyBorder="1" applyAlignment="1" applyProtection="1">
      <alignment horizontal="left" vertical="center"/>
      <protection/>
    </xf>
    <xf numFmtId="0" fontId="10" fillId="4" borderId="0" xfId="0" applyFont="1" applyFill="1" applyAlignment="1">
      <alignment horizontal="left" vertical="center"/>
    </xf>
    <xf numFmtId="0" fontId="8" fillId="4" borderId="45" xfId="0" applyFont="1" applyFill="1" applyBorder="1" applyAlignment="1">
      <alignment horizontal="center" vertical="center"/>
    </xf>
    <xf numFmtId="4" fontId="25" fillId="0" borderId="46" xfId="0" applyNumberFormat="1" applyFont="1" applyBorder="1" applyAlignment="1">
      <alignment vertical="center"/>
    </xf>
    <xf numFmtId="164" fontId="11" fillId="0" borderId="21" xfId="77" applyFont="1" applyFill="1" applyBorder="1" applyAlignment="1" applyProtection="1">
      <alignment horizontal="center" vertical="center"/>
      <protection/>
    </xf>
    <xf numFmtId="44" fontId="11" fillId="0" borderId="29" xfId="88" applyFont="1" applyFill="1" applyBorder="1" applyAlignment="1" applyProtection="1">
      <alignment horizontal="center" vertical="center"/>
      <protection/>
    </xf>
    <xf numFmtId="0" fontId="42" fillId="0" borderId="47" xfId="87" applyFont="1" applyBorder="1" applyAlignment="1">
      <alignment horizontal="center" vertical="center"/>
      <protection/>
    </xf>
    <xf numFmtId="164" fontId="42" fillId="0" borderId="47" xfId="77" applyFont="1" applyFill="1" applyBorder="1" applyAlignment="1" applyProtection="1">
      <alignment horizontal="center" vertical="center"/>
      <protection/>
    </xf>
    <xf numFmtId="44" fontId="42" fillId="0" borderId="48" xfId="88" applyFont="1" applyBorder="1" applyAlignment="1" applyProtection="1">
      <alignment horizontal="left" vertical="center"/>
      <protection/>
    </xf>
    <xf numFmtId="0" fontId="41" fillId="0" borderId="44" xfId="87" applyFont="1" applyBorder="1" applyAlignment="1">
      <alignment horizontal="left" vertical="center" wrapText="1"/>
      <protection/>
    </xf>
    <xf numFmtId="0" fontId="42" fillId="0" borderId="49" xfId="87" applyFont="1" applyBorder="1" applyAlignment="1">
      <alignment horizontal="center" vertical="center"/>
      <protection/>
    </xf>
    <xf numFmtId="164" fontId="42" fillId="0" borderId="49" xfId="77" applyFont="1" applyFill="1" applyBorder="1" applyAlignment="1" applyProtection="1">
      <alignment horizontal="center" vertical="center"/>
      <protection/>
    </xf>
    <xf numFmtId="44" fontId="42" fillId="11" borderId="49" xfId="88" applyFont="1" applyFill="1" applyBorder="1" applyAlignment="1" applyProtection="1">
      <alignment horizontal="left" vertical="center"/>
      <protection locked="0"/>
    </xf>
    <xf numFmtId="44" fontId="42" fillId="0" borderId="50" xfId="88" applyFont="1" applyBorder="1" applyAlignment="1" applyProtection="1">
      <alignment horizontal="left" vertical="center"/>
      <protection/>
    </xf>
    <xf numFmtId="0" fontId="41" fillId="0" borderId="44" xfId="87" applyFont="1" applyBorder="1" applyAlignment="1">
      <alignment vertical="center" wrapText="1"/>
      <protection/>
    </xf>
    <xf numFmtId="44" fontId="42" fillId="11" borderId="50" xfId="88" applyFont="1" applyFill="1" applyBorder="1" applyAlignment="1" applyProtection="1">
      <alignment horizontal="right" vertical="center"/>
      <protection locked="0"/>
    </xf>
    <xf numFmtId="0" fontId="41" fillId="0" borderId="51" xfId="87" applyFont="1" applyBorder="1" applyAlignment="1">
      <alignment vertical="center" wrapText="1"/>
      <protection/>
    </xf>
    <xf numFmtId="44" fontId="42" fillId="11" borderId="48" xfId="88" applyFont="1" applyFill="1" applyBorder="1" applyAlignment="1" applyProtection="1">
      <alignment horizontal="right" vertical="center"/>
      <protection locked="0"/>
    </xf>
    <xf numFmtId="49" fontId="55" fillId="0" borderId="52" xfId="80" applyNumberFormat="1" applyFont="1" applyBorder="1" applyAlignment="1" applyProtection="1">
      <alignment horizontal="center" vertical="center"/>
      <protection/>
    </xf>
    <xf numFmtId="3" fontId="56" fillId="0" borderId="25" xfId="80" applyNumberFormat="1" applyFont="1" applyBorder="1" applyAlignment="1" applyProtection="1">
      <alignment horizontal="left" vertical="center" wrapText="1"/>
      <protection/>
    </xf>
    <xf numFmtId="164" fontId="56" fillId="0" borderId="25" xfId="77" applyFont="1" applyFill="1" applyBorder="1" applyAlignment="1" applyProtection="1">
      <alignment horizontal="right" vertical="center" wrapText="1"/>
      <protection/>
    </xf>
    <xf numFmtId="49" fontId="47" fillId="0" borderId="52" xfId="80" applyNumberFormat="1" applyFont="1" applyBorder="1" applyAlignment="1" applyProtection="1">
      <alignment horizontal="center" vertical="center"/>
      <protection/>
    </xf>
    <xf numFmtId="0" fontId="47" fillId="0" borderId="25" xfId="82" applyFont="1" applyBorder="1" applyAlignment="1" applyProtection="1">
      <alignment vertical="center" wrapText="1"/>
      <protection/>
    </xf>
    <xf numFmtId="164" fontId="47" fillId="0" borderId="25" xfId="77" applyFont="1" applyFill="1" applyBorder="1" applyAlignment="1" applyProtection="1">
      <alignment horizontal="right" vertical="center"/>
      <protection/>
    </xf>
    <xf numFmtId="44" fontId="1" fillId="0" borderId="0" xfId="88" applyFont="1" applyBorder="1" applyAlignment="1" applyProtection="1">
      <alignment vertical="center"/>
      <protection/>
    </xf>
    <xf numFmtId="164" fontId="66" fillId="0" borderId="0" xfId="77" applyFont="1" applyBorder="1" applyAlignment="1" applyProtection="1">
      <alignment vertical="center"/>
      <protection/>
    </xf>
    <xf numFmtId="164" fontId="47" fillId="0" borderId="0" xfId="77" applyFont="1" applyBorder="1" applyAlignment="1" applyProtection="1">
      <alignment vertical="center"/>
      <protection/>
    </xf>
    <xf numFmtId="44" fontId="66" fillId="0" borderId="0" xfId="88" applyFont="1" applyBorder="1" applyAlignment="1" applyProtection="1">
      <alignment vertical="center"/>
      <protection/>
    </xf>
    <xf numFmtId="164" fontId="1" fillId="0" borderId="0" xfId="77" applyFont="1" applyBorder="1" applyAlignment="1" applyProtection="1">
      <alignment vertical="center"/>
      <protection/>
    </xf>
    <xf numFmtId="0" fontId="16" fillId="0" borderId="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5" xfId="0" applyFont="1" applyBorder="1" applyAlignment="1">
      <alignment vertical="center"/>
    </xf>
    <xf numFmtId="49" fontId="53" fillId="5" borderId="21" xfId="80" applyNumberFormat="1" applyFont="1" applyFill="1" applyBorder="1" applyAlignment="1" applyProtection="1">
      <alignment horizontal="center" vertical="center"/>
      <protection/>
    </xf>
    <xf numFmtId="3" fontId="53" fillId="5" borderId="21" xfId="80" applyNumberFormat="1" applyFont="1" applyFill="1" applyBorder="1" applyAlignment="1" applyProtection="1">
      <alignment horizontal="center" vertical="center" wrapText="1"/>
      <protection/>
    </xf>
    <xf numFmtId="3" fontId="53" fillId="5" borderId="21" xfId="80" applyNumberFormat="1" applyFont="1" applyFill="1" applyBorder="1" applyAlignment="1" applyProtection="1">
      <alignment horizontal="center" vertical="center"/>
      <protection/>
    </xf>
    <xf numFmtId="49" fontId="47" fillId="0" borderId="30" xfId="80" applyNumberFormat="1" applyFont="1" applyBorder="1" applyAlignment="1" applyProtection="1">
      <alignment horizontal="center" vertical="center"/>
      <protection/>
    </xf>
    <xf numFmtId="3" fontId="54" fillId="0" borderId="22" xfId="80" applyNumberFormat="1" applyFont="1" applyBorder="1" applyAlignment="1" applyProtection="1">
      <alignment vertical="center" wrapText="1"/>
      <protection/>
    </xf>
    <xf numFmtId="0" fontId="42" fillId="0" borderId="34" xfId="87" applyFont="1" applyBorder="1" applyAlignment="1">
      <alignment horizontal="center" vertical="center"/>
      <protection/>
    </xf>
    <xf numFmtId="0" fontId="44" fillId="0" borderId="0" xfId="87" applyFont="1" applyAlignment="1">
      <alignment vertical="center" wrapText="1"/>
      <protection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165" fontId="18" fillId="0" borderId="0" xfId="0" applyNumberFormat="1" applyFont="1" applyAlignment="1">
      <alignment vertical="center"/>
    </xf>
    <xf numFmtId="0" fontId="10" fillId="4" borderId="9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27" fillId="8" borderId="16" xfId="0" applyFont="1" applyFill="1" applyBorder="1" applyAlignment="1">
      <alignment vertical="center"/>
    </xf>
    <xf numFmtId="0" fontId="27" fillId="8" borderId="16" xfId="0" applyFont="1" applyFill="1" applyBorder="1" applyAlignment="1">
      <alignment horizontal="left" vertical="center" wrapText="1"/>
    </xf>
    <xf numFmtId="167" fontId="27" fillId="8" borderId="16" xfId="0" applyNumberFormat="1" applyFont="1" applyFill="1" applyBorder="1" applyAlignment="1">
      <alignment horizontal="left" vertical="center"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 wrapText="1"/>
    </xf>
    <xf numFmtId="167" fontId="10" fillId="0" borderId="43" xfId="0" applyNumberFormat="1" applyFont="1" applyBorder="1" applyAlignment="1">
      <alignment vertical="center"/>
    </xf>
    <xf numFmtId="0" fontId="10" fillId="9" borderId="0" xfId="0" applyFont="1" applyFill="1" applyAlignment="1">
      <alignment vertical="center"/>
    </xf>
    <xf numFmtId="167" fontId="59" fillId="0" borderId="41" xfId="0" applyNumberFormat="1" applyFont="1" applyBorder="1" applyAlignment="1">
      <alignment vertical="center"/>
    </xf>
    <xf numFmtId="0" fontId="29" fillId="0" borderId="43" xfId="0" applyFont="1" applyBorder="1" applyAlignment="1">
      <alignment horizontal="center" vertical="center"/>
    </xf>
    <xf numFmtId="167" fontId="29" fillId="0" borderId="43" xfId="0" applyNumberFormat="1" applyFont="1" applyBorder="1" applyAlignment="1">
      <alignment vertical="center"/>
    </xf>
    <xf numFmtId="0" fontId="62" fillId="0" borderId="4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44" fontId="47" fillId="0" borderId="0" xfId="88" applyFont="1" applyBorder="1" applyAlignment="1" applyProtection="1">
      <alignment vertical="center"/>
      <protection/>
    </xf>
    <xf numFmtId="44" fontId="55" fillId="0" borderId="0" xfId="88" applyFont="1" applyBorder="1" applyAlignment="1" applyProtection="1">
      <alignment vertical="center"/>
      <protection/>
    </xf>
    <xf numFmtId="164" fontId="66" fillId="0" borderId="0" xfId="77" applyFont="1" applyBorder="1" applyAlignment="1" applyProtection="1">
      <alignment horizontal="left" vertical="center"/>
      <protection/>
    </xf>
    <xf numFmtId="44" fontId="66" fillId="0" borderId="0" xfId="88" applyFont="1" applyBorder="1" applyAlignment="1" applyProtection="1">
      <alignment horizontal="left" vertical="center"/>
      <protection/>
    </xf>
    <xf numFmtId="164" fontId="69" fillId="0" borderId="53" xfId="77" applyFont="1" applyFill="1" applyBorder="1" applyAlignment="1" applyProtection="1">
      <alignment horizontal="center" vertical="center"/>
      <protection/>
    </xf>
    <xf numFmtId="44" fontId="69" fillId="0" borderId="0" xfId="88" applyFont="1" applyAlignment="1" applyProtection="1">
      <alignment vertical="center"/>
      <protection/>
    </xf>
    <xf numFmtId="49" fontId="67" fillId="0" borderId="0" xfId="80" applyNumberFormat="1" applyFont="1" applyAlignment="1" applyProtection="1">
      <alignment horizontal="center" vertical="center"/>
      <protection/>
    </xf>
    <xf numFmtId="164" fontId="67" fillId="0" borderId="0" xfId="77" applyFont="1" applyAlignment="1" applyProtection="1">
      <alignment horizontal="center" vertical="center"/>
      <protection/>
    </xf>
    <xf numFmtId="44" fontId="67" fillId="0" borderId="0" xfId="88" applyFont="1" applyAlignment="1" applyProtection="1">
      <alignment horizontal="center" vertical="center"/>
      <protection/>
    </xf>
    <xf numFmtId="0" fontId="56" fillId="0" borderId="0" xfId="80" applyFont="1" applyAlignment="1" applyProtection="1">
      <alignment vertical="center"/>
      <protection/>
    </xf>
    <xf numFmtId="3" fontId="53" fillId="0" borderId="0" xfId="80" applyNumberFormat="1" applyFont="1" applyAlignment="1" applyProtection="1">
      <alignment horizontal="center" vertical="center"/>
      <protection/>
    </xf>
    <xf numFmtId="0" fontId="68" fillId="0" borderId="0" xfId="80" applyFont="1" applyAlignment="1" applyProtection="1">
      <alignment vertical="center"/>
      <protection/>
    </xf>
    <xf numFmtId="164" fontId="68" fillId="0" borderId="0" xfId="77" applyFont="1" applyAlignment="1" applyProtection="1">
      <alignment vertical="center"/>
      <protection/>
    </xf>
    <xf numFmtId="44" fontId="68" fillId="0" borderId="0" xfId="88" applyFont="1" applyAlignment="1" applyProtection="1">
      <alignment vertical="center"/>
      <protection/>
    </xf>
    <xf numFmtId="3" fontId="68" fillId="0" borderId="0" xfId="80" applyNumberFormat="1" applyFont="1" applyAlignment="1" applyProtection="1">
      <alignment vertical="center"/>
      <protection/>
    </xf>
    <xf numFmtId="49" fontId="70" fillId="0" borderId="0" xfId="80" applyNumberFormat="1" applyFont="1" applyAlignment="1" applyProtection="1">
      <alignment horizontal="center" vertical="center"/>
      <protection/>
    </xf>
    <xf numFmtId="164" fontId="70" fillId="0" borderId="0" xfId="77" applyFont="1" applyAlignment="1" applyProtection="1">
      <alignment horizontal="center" vertical="center"/>
      <protection/>
    </xf>
    <xf numFmtId="44" fontId="70" fillId="0" borderId="0" xfId="88" applyFont="1" applyAlignment="1" applyProtection="1">
      <alignment horizontal="center" vertical="center"/>
      <protection/>
    </xf>
    <xf numFmtId="3" fontId="56" fillId="0" borderId="0" xfId="80" applyNumberFormat="1" applyFont="1" applyAlignment="1" applyProtection="1">
      <alignment vertical="center"/>
      <protection/>
    </xf>
    <xf numFmtId="49" fontId="56" fillId="0" borderId="0" xfId="80" applyNumberFormat="1" applyFont="1" applyAlignment="1" applyProtection="1">
      <alignment horizontal="center" vertical="center"/>
      <protection/>
    </xf>
    <xf numFmtId="3" fontId="56" fillId="0" borderId="0" xfId="80" applyNumberFormat="1" applyFont="1" applyAlignment="1" applyProtection="1">
      <alignment horizontal="justify" vertical="center" wrapText="1"/>
      <protection/>
    </xf>
    <xf numFmtId="3" fontId="56" fillId="0" borderId="0" xfId="80" applyNumberFormat="1" applyFont="1" applyAlignment="1" applyProtection="1">
      <alignment horizontal="center" vertical="center"/>
      <protection/>
    </xf>
    <xf numFmtId="164" fontId="56" fillId="0" borderId="0" xfId="77" applyFont="1" applyAlignment="1" applyProtection="1">
      <alignment horizontal="center" vertical="center"/>
      <protection/>
    </xf>
    <xf numFmtId="44" fontId="56" fillId="0" borderId="0" xfId="88" applyFont="1" applyAlignment="1" applyProtection="1">
      <alignment horizontal="center" vertical="center"/>
      <protection/>
    </xf>
    <xf numFmtId="44" fontId="56" fillId="0" borderId="0" xfId="88" applyFont="1" applyAlignment="1" applyProtection="1">
      <alignment horizontal="right" vertical="center"/>
      <protection/>
    </xf>
    <xf numFmtId="0" fontId="72" fillId="0" borderId="51" xfId="87" applyFont="1" applyBorder="1" applyAlignment="1">
      <alignment vertical="center" wrapText="1"/>
      <protection/>
    </xf>
    <xf numFmtId="0" fontId="50" fillId="0" borderId="47" xfId="87" applyFont="1" applyBorder="1" applyAlignment="1">
      <alignment horizontal="center" vertical="center"/>
      <protection/>
    </xf>
    <xf numFmtId="164" fontId="50" fillId="0" borderId="47" xfId="77" applyFont="1" applyFill="1" applyBorder="1" applyAlignment="1" applyProtection="1">
      <alignment horizontal="center" vertical="center"/>
      <protection/>
    </xf>
    <xf numFmtId="44" fontId="50" fillId="0" borderId="48" xfId="88" applyFont="1" applyFill="1" applyBorder="1" applyAlignment="1" applyProtection="1">
      <alignment horizontal="right" vertical="center"/>
      <protection locked="0"/>
    </xf>
    <xf numFmtId="44" fontId="50" fillId="0" borderId="48" xfId="88" applyFont="1" applyFill="1" applyBorder="1" applyAlignment="1" applyProtection="1">
      <alignment horizontal="left" vertical="center"/>
      <protection/>
    </xf>
    <xf numFmtId="0" fontId="11" fillId="0" borderId="34" xfId="87" applyFont="1" applyBorder="1" applyAlignment="1">
      <alignment horizontal="left" vertical="center"/>
      <protection/>
    </xf>
    <xf numFmtId="0" fontId="11" fillId="0" borderId="0" xfId="87" applyFont="1" applyAlignment="1">
      <alignment vertical="center"/>
      <protection/>
    </xf>
    <xf numFmtId="0" fontId="72" fillId="0" borderId="44" xfId="87" applyFont="1" applyBorder="1" applyAlignment="1">
      <alignment vertical="center" wrapText="1"/>
      <protection/>
    </xf>
    <xf numFmtId="0" fontId="50" fillId="0" borderId="49" xfId="87" applyFont="1" applyBorder="1" applyAlignment="1">
      <alignment horizontal="center" vertical="center"/>
      <protection/>
    </xf>
    <xf numFmtId="164" fontId="50" fillId="0" borderId="49" xfId="77" applyFont="1" applyFill="1" applyBorder="1" applyAlignment="1" applyProtection="1">
      <alignment horizontal="center" vertical="center"/>
      <protection/>
    </xf>
    <xf numFmtId="44" fontId="50" fillId="0" borderId="50" xfId="88" applyFont="1" applyFill="1" applyBorder="1" applyAlignment="1" applyProtection="1">
      <alignment horizontal="right" vertical="center"/>
      <protection locked="0"/>
    </xf>
    <xf numFmtId="44" fontId="50" fillId="0" borderId="50" xfId="88" applyFont="1" applyFill="1" applyBorder="1" applyAlignment="1" applyProtection="1">
      <alignment horizontal="left" vertical="center"/>
      <protection/>
    </xf>
    <xf numFmtId="8" fontId="42" fillId="11" borderId="50" xfId="88" applyNumberFormat="1" applyFont="1" applyFill="1" applyBorder="1" applyAlignment="1" applyProtection="1">
      <alignment horizontal="right" vertical="center"/>
      <protection locked="0"/>
    </xf>
    <xf numFmtId="4" fontId="10" fillId="4" borderId="0" xfId="0" applyNumberFormat="1" applyFont="1" applyFill="1" applyAlignment="1">
      <alignment horizontal="left" vertical="center"/>
    </xf>
    <xf numFmtId="164" fontId="59" fillId="0" borderId="0" xfId="77" applyFont="1" applyFill="1" applyAlignment="1" applyProtection="1">
      <alignment vertical="center" wrapText="1"/>
      <protection/>
    </xf>
    <xf numFmtId="0" fontId="62" fillId="0" borderId="41" xfId="77" applyNumberFormat="1" applyFont="1" applyFill="1" applyBorder="1" applyAlignment="1" applyProtection="1">
      <alignment vertical="center"/>
      <protection/>
    </xf>
    <xf numFmtId="9" fontId="59" fillId="0" borderId="41" xfId="77" applyNumberFormat="1" applyFont="1" applyFill="1" applyBorder="1" applyAlignment="1" applyProtection="1">
      <alignment vertical="center"/>
      <protection/>
    </xf>
    <xf numFmtId="49" fontId="29" fillId="0" borderId="43" xfId="0" applyNumberFormat="1" applyFont="1" applyBorder="1" applyAlignment="1">
      <alignment horizontal="left" vertical="center" wrapText="1"/>
    </xf>
    <xf numFmtId="9" fontId="42" fillId="11" borderId="50" xfId="21" applyFont="1" applyFill="1" applyBorder="1" applyAlignment="1" applyProtection="1">
      <alignment horizontal="right" vertical="center"/>
      <protection locked="0"/>
    </xf>
    <xf numFmtId="9" fontId="58" fillId="10" borderId="25" xfId="21" applyFont="1" applyFill="1" applyBorder="1" applyAlignment="1" applyProtection="1">
      <alignment horizontal="right" vertical="center"/>
      <protection locked="0"/>
    </xf>
    <xf numFmtId="0" fontId="55" fillId="0" borderId="25" xfId="82" applyFont="1" applyBorder="1" applyAlignment="1" applyProtection="1">
      <alignment vertical="center" wrapText="1"/>
      <protection/>
    </xf>
    <xf numFmtId="0" fontId="59" fillId="0" borderId="41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167" fontId="59" fillId="0" borderId="0" xfId="0" applyNumberFormat="1" applyFont="1" applyAlignment="1">
      <alignment vertical="center"/>
    </xf>
    <xf numFmtId="0" fontId="73" fillId="0" borderId="4" xfId="0" applyFont="1" applyBorder="1" applyAlignment="1">
      <alignment vertical="center"/>
    </xf>
    <xf numFmtId="0" fontId="73" fillId="0" borderId="5" xfId="0" applyFont="1" applyBorder="1" applyAlignment="1">
      <alignment vertical="center"/>
    </xf>
    <xf numFmtId="0" fontId="73" fillId="0" borderId="0" xfId="0" applyFont="1" applyAlignment="1">
      <alignment vertical="center"/>
    </xf>
    <xf numFmtId="164" fontId="74" fillId="0" borderId="0" xfId="77" applyFont="1" applyFill="1" applyAlignment="1" applyProtection="1">
      <alignment vertical="center"/>
      <protection/>
    </xf>
    <xf numFmtId="0" fontId="74" fillId="0" borderId="0" xfId="0" applyFont="1" applyAlignment="1">
      <alignment vertical="center"/>
    </xf>
    <xf numFmtId="0" fontId="73" fillId="8" borderId="43" xfId="0" applyFont="1" applyFill="1" applyBorder="1" applyAlignment="1">
      <alignment horizontal="center" vertical="center"/>
    </xf>
    <xf numFmtId="0" fontId="73" fillId="8" borderId="43" xfId="77" applyNumberFormat="1" applyFont="1" applyFill="1" applyBorder="1" applyAlignment="1" applyProtection="1">
      <alignment horizontal="center" vertical="center" wrapText="1"/>
      <protection/>
    </xf>
    <xf numFmtId="167" fontId="73" fillId="8" borderId="43" xfId="0" applyNumberFormat="1" applyFont="1" applyFill="1" applyBorder="1" applyAlignment="1">
      <alignment vertical="center"/>
    </xf>
    <xf numFmtId="0" fontId="74" fillId="0" borderId="4" xfId="0" applyFont="1" applyBorder="1" applyAlignment="1">
      <alignment vertical="center"/>
    </xf>
    <xf numFmtId="0" fontId="74" fillId="0" borderId="5" xfId="0" applyFont="1" applyBorder="1" applyAlignment="1">
      <alignment vertical="center"/>
    </xf>
    <xf numFmtId="0" fontId="74" fillId="0" borderId="41" xfId="77" applyNumberFormat="1" applyFont="1" applyFill="1" applyBorder="1" applyAlignment="1" applyProtection="1">
      <alignment vertical="center"/>
      <protection/>
    </xf>
    <xf numFmtId="169" fontId="4" fillId="0" borderId="0" xfId="88" applyNumberFormat="1" applyFont="1" applyBorder="1" applyAlignment="1" applyProtection="1">
      <alignment vertical="center"/>
      <protection/>
    </xf>
    <xf numFmtId="169" fontId="4" fillId="0" borderId="0" xfId="88" applyNumberFormat="1" applyFont="1" applyAlignment="1" applyProtection="1">
      <alignment vertical="center"/>
      <protection/>
    </xf>
    <xf numFmtId="169" fontId="8" fillId="0" borderId="0" xfId="88" applyNumberFormat="1" applyFont="1" applyBorder="1" applyAlignment="1" applyProtection="1">
      <alignment vertical="center"/>
      <protection/>
    </xf>
    <xf numFmtId="169" fontId="31" fillId="0" borderId="0" xfId="88" applyNumberFormat="1" applyFont="1" applyBorder="1" applyAlignment="1" applyProtection="1">
      <alignment vertical="center"/>
      <protection/>
    </xf>
    <xf numFmtId="169" fontId="75" fillId="12" borderId="54" xfId="88" applyNumberFormat="1" applyFont="1" applyFill="1" applyBorder="1" applyProtection="1">
      <protection/>
    </xf>
    <xf numFmtId="169" fontId="75" fillId="12" borderId="55" xfId="88" applyNumberFormat="1" applyFont="1" applyFill="1" applyBorder="1" applyProtection="1">
      <protection/>
    </xf>
    <xf numFmtId="169" fontId="84" fillId="0" borderId="56" xfId="88" applyNumberFormat="1" applyFont="1" applyBorder="1" applyProtection="1">
      <protection/>
    </xf>
    <xf numFmtId="169" fontId="1" fillId="13" borderId="56" xfId="88" applyNumberFormat="1" applyFont="1" applyFill="1" applyBorder="1" applyProtection="1">
      <protection/>
    </xf>
    <xf numFmtId="169" fontId="84" fillId="13" borderId="56" xfId="88" applyNumberFormat="1" applyFont="1" applyFill="1" applyBorder="1" applyProtection="1">
      <protection/>
    </xf>
    <xf numFmtId="169" fontId="1" fillId="0" borderId="56" xfId="88" applyNumberFormat="1" applyFont="1" applyBorder="1" applyProtection="1">
      <protection/>
    </xf>
    <xf numFmtId="169" fontId="80" fillId="0" borderId="56" xfId="88" applyNumberFormat="1" applyFont="1" applyBorder="1" applyAlignment="1" applyProtection="1">
      <alignment horizontal="center"/>
      <protection/>
    </xf>
    <xf numFmtId="169" fontId="80" fillId="0" borderId="56" xfId="88" applyNumberFormat="1" applyFont="1" applyBorder="1" applyAlignment="1" applyProtection="1">
      <alignment horizontal="center" wrapText="1"/>
      <protection/>
    </xf>
    <xf numFmtId="169" fontId="1" fillId="0" borderId="56" xfId="88" applyNumberFormat="1" applyFont="1" applyBorder="1" applyAlignment="1" applyProtection="1">
      <alignment horizontal="right"/>
      <protection/>
    </xf>
    <xf numFmtId="169" fontId="1" fillId="0" borderId="57" xfId="88" applyNumberFormat="1" applyFont="1" applyBorder="1" applyProtection="1">
      <protection/>
    </xf>
    <xf numFmtId="169" fontId="1" fillId="0" borderId="58" xfId="88" applyNumberFormat="1" applyFont="1" applyBorder="1" applyAlignment="1" applyProtection="1">
      <alignment horizontal="right"/>
      <protection/>
    </xf>
    <xf numFmtId="169" fontId="82" fillId="0" borderId="56" xfId="88" applyNumberFormat="1" applyFont="1" applyBorder="1" applyProtection="1">
      <protection/>
    </xf>
    <xf numFmtId="169" fontId="80" fillId="0" borderId="56" xfId="88" applyNumberFormat="1" applyFont="1" applyBorder="1" applyProtection="1">
      <protection/>
    </xf>
    <xf numFmtId="169" fontId="69" fillId="0" borderId="56" xfId="88" applyNumberFormat="1" applyFont="1" applyBorder="1" applyProtection="1">
      <protection/>
    </xf>
    <xf numFmtId="169" fontId="1" fillId="0" borderId="0" xfId="88" applyNumberFormat="1" applyFont="1" applyProtection="1">
      <protection/>
    </xf>
    <xf numFmtId="169" fontId="80" fillId="0" borderId="0" xfId="88" applyNumberFormat="1" applyFont="1" applyProtection="1">
      <protection/>
    </xf>
    <xf numFmtId="169" fontId="69" fillId="0" borderId="0" xfId="88" applyNumberFormat="1" applyFont="1" applyProtection="1">
      <protection/>
    </xf>
    <xf numFmtId="169" fontId="77" fillId="0" borderId="0" xfId="88" applyNumberFormat="1" applyFont="1" applyProtection="1">
      <protection/>
    </xf>
    <xf numFmtId="169" fontId="77" fillId="0" borderId="0" xfId="88" applyNumberFormat="1" applyFont="1" applyAlignment="1" applyProtection="1">
      <alignment horizontal="right"/>
      <protection/>
    </xf>
    <xf numFmtId="164" fontId="9" fillId="0" borderId="35" xfId="77" applyFont="1" applyFill="1" applyBorder="1" applyAlignment="1" applyProtection="1">
      <alignment vertical="center"/>
      <protection/>
    </xf>
    <xf numFmtId="164" fontId="9" fillId="0" borderId="53" xfId="77" applyFont="1" applyFill="1" applyBorder="1" applyAlignment="1" applyProtection="1">
      <alignment vertical="center"/>
      <protection/>
    </xf>
    <xf numFmtId="169" fontId="75" fillId="12" borderId="54" xfId="88" applyNumberFormat="1" applyFont="1" applyFill="1" applyBorder="1" applyProtection="1">
      <protection locked="0"/>
    </xf>
    <xf numFmtId="169" fontId="84" fillId="11" borderId="56" xfId="88" applyNumberFormat="1" applyFont="1" applyFill="1" applyBorder="1" applyAlignment="1" applyProtection="1">
      <alignment horizontal="right"/>
      <protection locked="0"/>
    </xf>
    <xf numFmtId="169" fontId="84" fillId="0" borderId="56" xfId="88" applyNumberFormat="1" applyFont="1" applyBorder="1" applyAlignment="1" applyProtection="1">
      <alignment horizontal="right"/>
      <protection locked="0"/>
    </xf>
    <xf numFmtId="169" fontId="1" fillId="13" borderId="56" xfId="88" applyNumberFormat="1" applyFont="1" applyFill="1" applyBorder="1" applyAlignment="1" applyProtection="1">
      <alignment horizontal="right"/>
      <protection locked="0"/>
    </xf>
    <xf numFmtId="169" fontId="84" fillId="13" borderId="56" xfId="88" applyNumberFormat="1" applyFont="1" applyFill="1" applyBorder="1" applyAlignment="1" applyProtection="1">
      <alignment horizontal="right"/>
      <protection locked="0"/>
    </xf>
    <xf numFmtId="169" fontId="1" fillId="11" borderId="56" xfId="88" applyNumberFormat="1" applyFont="1" applyFill="1" applyBorder="1" applyAlignment="1" applyProtection="1">
      <alignment horizontal="right"/>
      <protection locked="0"/>
    </xf>
    <xf numFmtId="169" fontId="80" fillId="11" borderId="56" xfId="88" applyNumberFormat="1" applyFont="1" applyFill="1" applyBorder="1" applyAlignment="1" applyProtection="1">
      <alignment horizontal="center"/>
      <protection locked="0"/>
    </xf>
    <xf numFmtId="169" fontId="1" fillId="11" borderId="56" xfId="88" applyNumberFormat="1" applyFont="1" applyFill="1" applyBorder="1" applyProtection="1">
      <protection locked="0"/>
    </xf>
    <xf numFmtId="169" fontId="84" fillId="11" borderId="56" xfId="88" applyNumberFormat="1" applyFont="1" applyFill="1" applyBorder="1" applyAlignment="1" applyProtection="1">
      <alignment/>
      <protection locked="0"/>
    </xf>
    <xf numFmtId="169" fontId="1" fillId="13" borderId="56" xfId="88" applyNumberFormat="1" applyFont="1" applyFill="1" applyBorder="1" applyAlignment="1" applyProtection="1">
      <alignment/>
      <protection locked="0"/>
    </xf>
    <xf numFmtId="49" fontId="77" fillId="0" borderId="56" xfId="0" applyNumberFormat="1" applyFont="1" applyBorder="1" applyProtection="1">
      <protection locked="0"/>
    </xf>
    <xf numFmtId="169" fontId="1" fillId="0" borderId="56" xfId="88" applyNumberFormat="1" applyFont="1" applyBorder="1" applyAlignment="1" applyProtection="1">
      <alignment horizontal="right"/>
      <protection locked="0"/>
    </xf>
    <xf numFmtId="169" fontId="1" fillId="11" borderId="57" xfId="88" applyNumberFormat="1" applyFont="1" applyFill="1" applyBorder="1" applyProtection="1">
      <protection locked="0"/>
    </xf>
    <xf numFmtId="169" fontId="1" fillId="0" borderId="58" xfId="88" applyNumberFormat="1" applyFont="1" applyBorder="1" applyProtection="1">
      <protection locked="0"/>
    </xf>
    <xf numFmtId="169" fontId="1" fillId="0" borderId="56" xfId="88" applyNumberFormat="1" applyFont="1" applyBorder="1" applyProtection="1">
      <protection locked="0"/>
    </xf>
    <xf numFmtId="169" fontId="82" fillId="0" borderId="56" xfId="88" applyNumberFormat="1" applyFont="1" applyBorder="1" applyProtection="1">
      <protection locked="0"/>
    </xf>
    <xf numFmtId="169" fontId="80" fillId="0" borderId="59" xfId="88" applyNumberFormat="1" applyFont="1" applyBorder="1" applyAlignment="1" applyProtection="1">
      <alignment horizontal="center"/>
      <protection/>
    </xf>
    <xf numFmtId="169" fontId="80" fillId="0" borderId="59" xfId="88" applyNumberFormat="1" applyFont="1" applyBorder="1" applyAlignment="1" applyProtection="1">
      <alignment horizontal="center" wrapText="1"/>
      <protection/>
    </xf>
    <xf numFmtId="49" fontId="88" fillId="0" borderId="52" xfId="80" applyNumberFormat="1" applyFont="1" applyBorder="1" applyAlignment="1" applyProtection="1">
      <alignment horizontal="center" vertical="center"/>
      <protection/>
    </xf>
    <xf numFmtId="3" fontId="88" fillId="0" borderId="25" xfId="80" applyNumberFormat="1" applyFont="1" applyBorder="1" applyAlignment="1" applyProtection="1">
      <alignment horizontal="left" vertical="center" wrapText="1"/>
      <protection/>
    </xf>
    <xf numFmtId="164" fontId="88" fillId="0" borderId="25" xfId="77" applyFont="1" applyFill="1" applyBorder="1" applyAlignment="1" applyProtection="1">
      <alignment horizontal="right" vertical="center" wrapText="1"/>
      <protection/>
    </xf>
    <xf numFmtId="44" fontId="88" fillId="0" borderId="25" xfId="88" applyFont="1" applyFill="1" applyBorder="1" applyAlignment="1" applyProtection="1">
      <alignment horizontal="right" vertical="center" wrapText="1"/>
      <protection locked="0"/>
    </xf>
    <xf numFmtId="44" fontId="88" fillId="0" borderId="24" xfId="88" applyFont="1" applyBorder="1" applyAlignment="1" applyProtection="1">
      <alignment vertical="center"/>
      <protection/>
    </xf>
    <xf numFmtId="3" fontId="89" fillId="0" borderId="0" xfId="80" applyNumberFormat="1" applyFont="1" applyAlignment="1" applyProtection="1">
      <alignment horizontal="center" vertical="center"/>
      <protection/>
    </xf>
    <xf numFmtId="170" fontId="58" fillId="10" borderId="25" xfId="21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0" fillId="9" borderId="0" xfId="0" applyFont="1" applyFill="1" applyAlignment="1">
      <alignment vertical="center" wrapText="1"/>
    </xf>
    <xf numFmtId="0" fontId="59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9" fontId="59" fillId="0" borderId="41" xfId="21" applyFont="1" applyFill="1" applyBorder="1" applyAlignment="1" applyProtection="1">
      <alignment vertical="center"/>
      <protection/>
    </xf>
    <xf numFmtId="14" fontId="90" fillId="0" borderId="0" xfId="0" applyNumberFormat="1" applyFont="1" applyAlignment="1">
      <alignment horizontal="center" vertical="center" wrapText="1"/>
    </xf>
    <xf numFmtId="164" fontId="16" fillId="0" borderId="0" xfId="77" applyFont="1" applyFill="1" applyAlignment="1" applyProtection="1">
      <alignment vertical="center"/>
      <protection/>
    </xf>
    <xf numFmtId="0" fontId="16" fillId="0" borderId="0" xfId="0" applyFont="1" applyAlignment="1">
      <alignment vertical="center" wrapText="1"/>
    </xf>
    <xf numFmtId="171" fontId="59" fillId="0" borderId="0" xfId="77" applyNumberFormat="1" applyFont="1" applyFill="1" applyAlignment="1" applyProtection="1">
      <alignment vertical="center"/>
      <protection/>
    </xf>
    <xf numFmtId="0" fontId="73" fillId="0" borderId="43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 wrapText="1"/>
    </xf>
    <xf numFmtId="167" fontId="73" fillId="0" borderId="43" xfId="0" applyNumberFormat="1" applyFont="1" applyBorder="1" applyAlignment="1">
      <alignment vertical="center"/>
    </xf>
    <xf numFmtId="0" fontId="91" fillId="8" borderId="16" xfId="0" applyFont="1" applyFill="1" applyBorder="1" applyAlignment="1">
      <alignment horizontal="center" vertical="center"/>
    </xf>
    <xf numFmtId="43" fontId="10" fillId="0" borderId="0" xfId="0" applyNumberFormat="1" applyFont="1" applyAlignment="1">
      <alignment vertical="center"/>
    </xf>
    <xf numFmtId="167" fontId="74" fillId="0" borderId="41" xfId="0" applyNumberFormat="1" applyFont="1" applyBorder="1" applyAlignment="1">
      <alignment vertical="center"/>
    </xf>
    <xf numFmtId="169" fontId="31" fillId="0" borderId="0" xfId="88" applyNumberFormat="1" applyFont="1" applyBorder="1" applyAlignment="1" applyProtection="1">
      <alignment horizontal="left" vertical="center"/>
      <protection/>
    </xf>
    <xf numFmtId="169" fontId="4" fillId="6" borderId="26" xfId="88" applyNumberFormat="1" applyFont="1" applyFill="1" applyBorder="1" applyAlignment="1" applyProtection="1">
      <alignment vertical="center"/>
      <protection/>
    </xf>
    <xf numFmtId="44" fontId="11" fillId="0" borderId="29" xfId="88" applyFont="1" applyFill="1" applyBorder="1" applyAlignment="1" applyProtection="1">
      <alignment horizontal="center" vertical="center"/>
      <protection locked="0"/>
    </xf>
    <xf numFmtId="44" fontId="8" fillId="10" borderId="29" xfId="88" applyFont="1" applyFill="1" applyBorder="1" applyAlignment="1" applyProtection="1">
      <alignment horizontal="center" vertical="center"/>
      <protection locked="0"/>
    </xf>
    <xf numFmtId="9" fontId="8" fillId="10" borderId="29" xfId="21" applyFont="1" applyFill="1" applyBorder="1" applyAlignment="1" applyProtection="1">
      <alignment horizontal="center" vertical="center"/>
      <protection locked="0"/>
    </xf>
    <xf numFmtId="44" fontId="54" fillId="0" borderId="22" xfId="88" applyFont="1" applyBorder="1" applyAlignment="1" applyProtection="1">
      <alignment vertical="center" wrapText="1"/>
      <protection locked="0"/>
    </xf>
    <xf numFmtId="44" fontId="68" fillId="0" borderId="0" xfId="88" applyFont="1" applyAlignment="1" applyProtection="1">
      <alignment vertical="center"/>
      <protection locked="0"/>
    </xf>
    <xf numFmtId="0" fontId="92" fillId="0" borderId="4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2" fillId="0" borderId="5" xfId="0" applyFont="1" applyBorder="1" applyAlignment="1">
      <alignment vertical="center"/>
    </xf>
    <xf numFmtId="164" fontId="92" fillId="0" borderId="0" xfId="77" applyFont="1" applyFill="1" applyAlignment="1" applyProtection="1">
      <alignment vertical="center"/>
      <protection/>
    </xf>
    <xf numFmtId="0" fontId="92" fillId="0" borderId="0" xfId="0" applyFont="1" applyAlignment="1">
      <alignment vertical="center" wrapText="1"/>
    </xf>
    <xf numFmtId="0" fontId="92" fillId="0" borderId="41" xfId="0" applyFont="1" applyBorder="1" applyAlignment="1">
      <alignment horizontal="left" vertical="center" wrapText="1"/>
    </xf>
    <xf numFmtId="0" fontId="92" fillId="0" borderId="41" xfId="77" applyNumberFormat="1" applyFont="1" applyFill="1" applyBorder="1" applyAlignment="1" applyProtection="1">
      <alignment vertical="center"/>
      <protection/>
    </xf>
    <xf numFmtId="167" fontId="92" fillId="0" borderId="41" xfId="0" applyNumberFormat="1" applyFont="1" applyBorder="1" applyAlignment="1">
      <alignment vertical="center"/>
    </xf>
    <xf numFmtId="0" fontId="62" fillId="0" borderId="41" xfId="0" applyFont="1" applyBorder="1" applyAlignment="1">
      <alignment horizontal="left" vertical="center" wrapText="1"/>
    </xf>
    <xf numFmtId="167" fontId="62" fillId="0" borderId="41" xfId="0" applyNumberFormat="1" applyFont="1" applyBorder="1" applyAlignment="1">
      <alignment vertical="center"/>
    </xf>
    <xf numFmtId="0" fontId="59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74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44" fontId="8" fillId="0" borderId="34" xfId="88" applyFont="1" applyBorder="1" applyAlignment="1" applyProtection="1">
      <alignment horizontal="right" vertical="center"/>
      <protection locked="0"/>
    </xf>
    <xf numFmtId="44" fontId="8" fillId="0" borderId="40" xfId="88" applyFont="1" applyBorder="1" applyAlignment="1" applyProtection="1">
      <alignment horizontal="right" vertical="center"/>
      <protection locked="0"/>
    </xf>
    <xf numFmtId="49" fontId="31" fillId="0" borderId="0" xfId="87" applyNumberFormat="1" applyFont="1" applyAlignment="1">
      <alignment vertical="center"/>
      <protection/>
    </xf>
    <xf numFmtId="0" fontId="61" fillId="0" borderId="0" xfId="33" applyFont="1" applyAlignment="1">
      <alignment vertical="center"/>
      <protection/>
    </xf>
    <xf numFmtId="0" fontId="4" fillId="0" borderId="0" xfId="33" applyAlignment="1">
      <alignment vertical="center"/>
      <protection/>
    </xf>
    <xf numFmtId="49" fontId="4" fillId="0" borderId="0" xfId="33" applyNumberFormat="1" applyAlignment="1">
      <alignment vertical="center"/>
      <protection/>
    </xf>
    <xf numFmtId="0" fontId="4" fillId="0" borderId="0" xfId="33" applyAlignment="1">
      <alignment vertical="center" wrapText="1"/>
      <protection/>
    </xf>
    <xf numFmtId="0" fontId="63" fillId="0" borderId="0" xfId="87" applyFont="1" applyAlignment="1">
      <alignment vertical="center"/>
      <protection/>
    </xf>
    <xf numFmtId="0" fontId="64" fillId="0" borderId="0" xfId="87" applyFont="1" applyAlignment="1">
      <alignment vertical="center"/>
      <protection/>
    </xf>
    <xf numFmtId="49" fontId="31" fillId="0" borderId="0" xfId="87" applyNumberFormat="1" applyFont="1" applyAlignment="1">
      <alignment horizontal="left" vertical="center"/>
      <protection/>
    </xf>
    <xf numFmtId="0" fontId="31" fillId="0" borderId="0" xfId="87" applyFont="1" applyAlignment="1">
      <alignment horizontal="left" vertical="center" wrapText="1"/>
      <protection/>
    </xf>
    <xf numFmtId="49" fontId="51" fillId="0" borderId="31" xfId="87" applyNumberFormat="1" applyFont="1" applyBorder="1" applyAlignment="1">
      <alignment horizontal="left" vertical="center"/>
      <protection/>
    </xf>
    <xf numFmtId="0" fontId="9" fillId="0" borderId="0" xfId="87" applyFont="1" applyAlignment="1">
      <alignment vertical="center"/>
      <protection/>
    </xf>
    <xf numFmtId="49" fontId="4" fillId="6" borderId="60" xfId="33" applyNumberFormat="1" applyFill="1" applyBorder="1" applyAlignment="1">
      <alignment vertical="center"/>
      <protection/>
    </xf>
    <xf numFmtId="0" fontId="9" fillId="6" borderId="26" xfId="33" applyFont="1" applyFill="1" applyBorder="1" applyAlignment="1">
      <alignment vertical="center" wrapText="1"/>
      <protection/>
    </xf>
    <xf numFmtId="0" fontId="4" fillId="6" borderId="26" xfId="33" applyFill="1" applyBorder="1" applyAlignment="1">
      <alignment vertical="center" wrapText="1"/>
      <protection/>
    </xf>
    <xf numFmtId="49" fontId="80" fillId="0" borderId="61" xfId="0" applyNumberFormat="1" applyFont="1" applyBorder="1"/>
    <xf numFmtId="49" fontId="80" fillId="0" borderId="61" xfId="0" applyNumberFormat="1" applyFont="1" applyBorder="1" applyAlignment="1">
      <alignment wrapText="1"/>
    </xf>
    <xf numFmtId="0" fontId="1" fillId="0" borderId="0" xfId="0" applyFont="1"/>
    <xf numFmtId="49" fontId="80" fillId="0" borderId="59" xfId="0" applyNumberFormat="1" applyFont="1" applyBorder="1"/>
    <xf numFmtId="49" fontId="80" fillId="0" borderId="59" xfId="0" applyNumberFormat="1" applyFont="1" applyBorder="1" applyAlignment="1">
      <alignment wrapText="1"/>
    </xf>
    <xf numFmtId="49" fontId="80" fillId="0" borderId="59" xfId="0" applyNumberFormat="1" applyFont="1" applyBorder="1" applyAlignment="1">
      <alignment textRotation="90"/>
    </xf>
    <xf numFmtId="49" fontId="80" fillId="0" borderId="59" xfId="0" applyNumberFormat="1" applyFont="1" applyBorder="1" applyAlignment="1">
      <alignment horizontal="center" wrapText="1"/>
    </xf>
    <xf numFmtId="49" fontId="75" fillId="12" borderId="62" xfId="0" applyNumberFormat="1" applyFont="1" applyFill="1" applyBorder="1"/>
    <xf numFmtId="49" fontId="75" fillId="12" borderId="54" xfId="0" applyNumberFormat="1" applyFont="1" applyFill="1" applyBorder="1"/>
    <xf numFmtId="49" fontId="75" fillId="12" borderId="54" xfId="0" applyNumberFormat="1" applyFont="1" applyFill="1" applyBorder="1" applyAlignment="1">
      <alignment wrapText="1"/>
    </xf>
    <xf numFmtId="49" fontId="84" fillId="0" borderId="57" xfId="0" applyNumberFormat="1" applyFont="1" applyBorder="1" applyAlignment="1">
      <alignment horizontal="left"/>
    </xf>
    <xf numFmtId="49" fontId="84" fillId="0" borderId="63" xfId="0" applyNumberFormat="1" applyFont="1" applyBorder="1" applyAlignment="1">
      <alignment wrapText="1"/>
    </xf>
    <xf numFmtId="0" fontId="84" fillId="0" borderId="56" xfId="0" applyFont="1" applyBorder="1" applyAlignment="1">
      <alignment horizontal="left"/>
    </xf>
    <xf numFmtId="49" fontId="84" fillId="0" borderId="56" xfId="0" applyNumberFormat="1" applyFont="1" applyBorder="1"/>
    <xf numFmtId="3" fontId="76" fillId="0" borderId="56" xfId="0" applyNumberFormat="1" applyFont="1" applyBorder="1" applyAlignment="1">
      <alignment horizontal="right"/>
    </xf>
    <xf numFmtId="0" fontId="84" fillId="0" borderId="0" xfId="0" applyFont="1"/>
    <xf numFmtId="49" fontId="77" fillId="0" borderId="63" xfId="0" applyNumberFormat="1" applyFont="1" applyBorder="1" applyAlignment="1">
      <alignment wrapText="1"/>
    </xf>
    <xf numFmtId="49" fontId="84" fillId="0" borderId="56" xfId="0" applyNumberFormat="1" applyFont="1" applyBorder="1" applyAlignment="1">
      <alignment wrapText="1"/>
    </xf>
    <xf numFmtId="49" fontId="1" fillId="13" borderId="57" xfId="0" applyNumberFormat="1" applyFont="1" applyFill="1" applyBorder="1" applyAlignment="1">
      <alignment horizontal="left"/>
    </xf>
    <xf numFmtId="49" fontId="85" fillId="13" borderId="56" xfId="0" applyNumberFormat="1" applyFont="1" applyFill="1" applyBorder="1" applyAlignment="1">
      <alignment wrapText="1"/>
    </xf>
    <xf numFmtId="0" fontId="1" fillId="13" borderId="56" xfId="0" applyFont="1" applyFill="1" applyBorder="1" applyAlignment="1">
      <alignment horizontal="left"/>
    </xf>
    <xf numFmtId="49" fontId="1" fillId="13" borderId="56" xfId="0" applyNumberFormat="1" applyFont="1" applyFill="1" applyBorder="1"/>
    <xf numFmtId="3" fontId="1" fillId="13" borderId="56" xfId="0" applyNumberFormat="1" applyFont="1" applyFill="1" applyBorder="1" applyAlignment="1">
      <alignment horizontal="right"/>
    </xf>
    <xf numFmtId="49" fontId="86" fillId="0" borderId="56" xfId="0" applyNumberFormat="1" applyFont="1" applyBorder="1" applyAlignment="1">
      <alignment wrapText="1"/>
    </xf>
    <xf numFmtId="3" fontId="84" fillId="0" borderId="56" xfId="0" applyNumberFormat="1" applyFont="1" applyBorder="1" applyAlignment="1">
      <alignment horizontal="right"/>
    </xf>
    <xf numFmtId="0" fontId="84" fillId="0" borderId="56" xfId="0" applyFont="1" applyBorder="1"/>
    <xf numFmtId="49" fontId="84" fillId="13" borderId="56" xfId="0" applyNumberFormat="1" applyFont="1" applyFill="1" applyBorder="1" applyAlignment="1">
      <alignment horizontal="left"/>
    </xf>
    <xf numFmtId="49" fontId="86" fillId="13" borderId="56" xfId="0" applyNumberFormat="1" applyFont="1" applyFill="1" applyBorder="1" applyAlignment="1">
      <alignment wrapText="1"/>
    </xf>
    <xf numFmtId="0" fontId="84" fillId="13" borderId="56" xfId="0" applyFont="1" applyFill="1" applyBorder="1" applyAlignment="1">
      <alignment horizontal="left"/>
    </xf>
    <xf numFmtId="49" fontId="6" fillId="13" borderId="56" xfId="0" applyNumberFormat="1" applyFont="1" applyFill="1" applyBorder="1"/>
    <xf numFmtId="3" fontId="84" fillId="13" borderId="56" xfId="0" applyNumberFormat="1" applyFont="1" applyFill="1" applyBorder="1" applyAlignment="1">
      <alignment horizontal="right"/>
    </xf>
    <xf numFmtId="49" fontId="84" fillId="0" borderId="56" xfId="0" applyNumberFormat="1" applyFont="1" applyBorder="1" applyAlignment="1">
      <alignment horizontal="left"/>
    </xf>
    <xf numFmtId="0" fontId="84" fillId="0" borderId="56" xfId="0" applyFont="1" applyBorder="1" applyAlignment="1">
      <alignment wrapText="1"/>
    </xf>
    <xf numFmtId="0" fontId="1" fillId="0" borderId="56" xfId="0" applyFont="1" applyBorder="1"/>
    <xf numFmtId="49" fontId="1" fillId="0" borderId="56" xfId="0" applyNumberFormat="1" applyFont="1" applyBorder="1"/>
    <xf numFmtId="49" fontId="1" fillId="0" borderId="56" xfId="0" applyNumberFormat="1" applyFont="1" applyBorder="1" applyAlignment="1">
      <alignment horizontal="center"/>
    </xf>
    <xf numFmtId="0" fontId="1" fillId="0" borderId="56" xfId="0" applyFont="1" applyBorder="1" applyAlignment="1">
      <alignment wrapText="1"/>
    </xf>
    <xf numFmtId="0" fontId="1" fillId="0" borderId="56" xfId="0" applyFont="1" applyBorder="1" applyAlignment="1">
      <alignment horizontal="left"/>
    </xf>
    <xf numFmtId="49" fontId="80" fillId="0" borderId="56" xfId="0" applyNumberFormat="1" applyFont="1" applyBorder="1" applyAlignment="1">
      <alignment horizontal="center" wrapText="1"/>
    </xf>
    <xf numFmtId="49" fontId="1" fillId="0" borderId="57" xfId="0" applyNumberFormat="1" applyFont="1" applyBorder="1" applyAlignment="1">
      <alignment horizontal="left"/>
    </xf>
    <xf numFmtId="49" fontId="1" fillId="0" borderId="56" xfId="0" applyNumberFormat="1" applyFont="1" applyBorder="1" applyAlignment="1">
      <alignment wrapText="1"/>
    </xf>
    <xf numFmtId="3" fontId="1" fillId="0" borderId="56" xfId="0" applyNumberFormat="1" applyFont="1" applyBorder="1"/>
    <xf numFmtId="49" fontId="77" fillId="0" borderId="56" xfId="0" applyNumberFormat="1" applyFont="1" applyBorder="1" applyAlignment="1">
      <alignment wrapText="1"/>
    </xf>
    <xf numFmtId="49" fontId="84" fillId="0" borderId="57" xfId="0" applyNumberFormat="1" applyFont="1" applyBorder="1"/>
    <xf numFmtId="49" fontId="1" fillId="13" borderId="57" xfId="0" applyNumberFormat="1" applyFont="1" applyFill="1" applyBorder="1"/>
    <xf numFmtId="0" fontId="1" fillId="13" borderId="56" xfId="0" applyFont="1" applyFill="1" applyBorder="1"/>
    <xf numFmtId="49" fontId="77" fillId="0" borderId="56" xfId="0" applyNumberFormat="1" applyFont="1" applyBorder="1"/>
    <xf numFmtId="49" fontId="1" fillId="0" borderId="57" xfId="0" applyNumberFormat="1" applyFont="1" applyBorder="1"/>
    <xf numFmtId="49" fontId="80" fillId="0" borderId="56" xfId="0" applyNumberFormat="1" applyFont="1" applyBorder="1" applyAlignment="1">
      <alignment wrapText="1"/>
    </xf>
    <xf numFmtId="3" fontId="81" fillId="0" borderId="56" xfId="0" applyNumberFormat="1" applyFont="1" applyBorder="1" applyAlignment="1">
      <alignment horizontal="right"/>
    </xf>
    <xf numFmtId="3" fontId="1" fillId="0" borderId="56" xfId="0" applyNumberFormat="1" applyFont="1" applyBorder="1" applyAlignment="1">
      <alignment horizontal="right"/>
    </xf>
    <xf numFmtId="49" fontId="1" fillId="0" borderId="64" xfId="0" applyNumberFormat="1" applyFont="1" applyBorder="1"/>
    <xf numFmtId="49" fontId="1" fillId="0" borderId="57" xfId="0" applyNumberFormat="1" applyFont="1" applyBorder="1" applyAlignment="1">
      <alignment wrapText="1"/>
    </xf>
    <xf numFmtId="0" fontId="6" fillId="0" borderId="57" xfId="0" applyFont="1" applyBorder="1" applyAlignment="1">
      <alignment horizontal="left"/>
    </xf>
    <xf numFmtId="49" fontId="6" fillId="0" borderId="57" xfId="0" applyNumberFormat="1" applyFont="1" applyBorder="1"/>
    <xf numFmtId="3" fontId="1" fillId="0" borderId="57" xfId="0" applyNumberFormat="1" applyFont="1" applyBorder="1"/>
    <xf numFmtId="49" fontId="1" fillId="0" borderId="64" xfId="0" applyNumberFormat="1" applyFont="1" applyBorder="1" applyAlignment="1">
      <alignment horizontal="left"/>
    </xf>
    <xf numFmtId="49" fontId="1" fillId="0" borderId="56" xfId="0" applyNumberFormat="1" applyFont="1" applyBorder="1" applyAlignment="1">
      <alignment horizontal="left"/>
    </xf>
    <xf numFmtId="3" fontId="1" fillId="0" borderId="58" xfId="0" applyNumberFormat="1" applyFont="1" applyBorder="1" applyAlignment="1">
      <alignment horizontal="right"/>
    </xf>
    <xf numFmtId="3" fontId="1" fillId="0" borderId="58" xfId="0" applyNumberFormat="1" applyFont="1" applyBorder="1"/>
    <xf numFmtId="49" fontId="6" fillId="0" borderId="56" xfId="0" applyNumberFormat="1" applyFont="1" applyBorder="1"/>
    <xf numFmtId="49" fontId="1" fillId="0" borderId="0" xfId="0" applyNumberFormat="1" applyFont="1"/>
    <xf numFmtId="0" fontId="6" fillId="0" borderId="56" xfId="0" applyFont="1" applyBorder="1" applyAlignment="1">
      <alignment horizontal="left"/>
    </xf>
    <xf numFmtId="49" fontId="1" fillId="0" borderId="64" xfId="0" applyNumberFormat="1" applyFont="1" applyBorder="1" applyAlignment="1">
      <alignment wrapText="1"/>
    </xf>
    <xf numFmtId="3" fontId="82" fillId="0" borderId="56" xfId="0" applyNumberFormat="1" applyFont="1" applyBorder="1"/>
    <xf numFmtId="49" fontId="69" fillId="0" borderId="56" xfId="168" applyNumberFormat="1" applyFont="1" applyBorder="1" applyAlignment="1">
      <alignment wrapText="1"/>
      <protection/>
    </xf>
    <xf numFmtId="0" fontId="1" fillId="0" borderId="56" xfId="168" applyFont="1" applyBorder="1" applyAlignment="1">
      <alignment horizontal="left" wrapText="1"/>
      <protection/>
    </xf>
    <xf numFmtId="3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69" fillId="0" borderId="0" xfId="168" applyNumberFormat="1" applyFont="1" applyAlignment="1">
      <alignment wrapText="1"/>
      <protection/>
    </xf>
    <xf numFmtId="0" fontId="1" fillId="0" borderId="0" xfId="168" applyFont="1" applyAlignment="1">
      <alignment horizontal="left" wrapText="1"/>
      <protection/>
    </xf>
    <xf numFmtId="0" fontId="1" fillId="0" borderId="0" xfId="0" applyFont="1" applyAlignment="1">
      <alignment horizontal="left"/>
    </xf>
    <xf numFmtId="49" fontId="84" fillId="0" borderId="0" xfId="0" applyNumberFormat="1" applyFont="1" applyAlignment="1">
      <alignment horizontal="left"/>
    </xf>
    <xf numFmtId="49" fontId="77" fillId="0" borderId="0" xfId="0" applyNumberFormat="1" applyFont="1"/>
    <xf numFmtId="49" fontId="84" fillId="0" borderId="0" xfId="0" applyNumberFormat="1" applyFont="1"/>
    <xf numFmtId="49" fontId="9" fillId="0" borderId="0" xfId="168" applyNumberFormat="1" applyFont="1" applyAlignment="1">
      <alignment wrapText="1"/>
      <protection/>
    </xf>
    <xf numFmtId="0" fontId="84" fillId="0" borderId="0" xfId="168" applyFont="1" applyAlignment="1">
      <alignment horizontal="left" wrapText="1"/>
      <protection/>
    </xf>
    <xf numFmtId="0" fontId="84" fillId="0" borderId="0" xfId="0" applyFont="1" applyAlignment="1">
      <alignment horizontal="left"/>
    </xf>
    <xf numFmtId="49" fontId="77" fillId="0" borderId="0" xfId="0" applyNumberFormat="1" applyFont="1" applyAlignment="1">
      <alignment horizontal="right"/>
    </xf>
    <xf numFmtId="0" fontId="87" fillId="0" borderId="0" xfId="0" applyFont="1"/>
    <xf numFmtId="0" fontId="1" fillId="0" borderId="0" xfId="0" applyFont="1" applyAlignment="1">
      <alignment wrapText="1"/>
    </xf>
    <xf numFmtId="169" fontId="80" fillId="0" borderId="59" xfId="88" applyNumberFormat="1" applyFont="1" applyBorder="1" applyAlignment="1" applyProtection="1">
      <alignment horizontal="center"/>
      <protection locked="0"/>
    </xf>
    <xf numFmtId="0" fontId="31" fillId="0" borderId="0" xfId="87" applyFont="1" applyAlignment="1">
      <alignment horizontal="left" vertical="center"/>
      <protection/>
    </xf>
    <xf numFmtId="0" fontId="4" fillId="6" borderId="26" xfId="33" applyFill="1" applyBorder="1" applyAlignment="1">
      <alignment vertical="center"/>
      <protection/>
    </xf>
    <xf numFmtId="49" fontId="9" fillId="0" borderId="65" xfId="33" applyNumberFormat="1" applyFont="1" applyBorder="1" applyAlignment="1">
      <alignment vertical="center"/>
      <protection/>
    </xf>
    <xf numFmtId="0" fontId="9" fillId="0" borderId="27" xfId="33" applyFont="1" applyBorder="1" applyAlignment="1">
      <alignment vertical="center" wrapText="1"/>
      <protection/>
    </xf>
    <xf numFmtId="0" fontId="9" fillId="0" borderId="27" xfId="33" applyFont="1" applyBorder="1" applyAlignment="1">
      <alignment horizontal="center" vertical="center"/>
      <protection/>
    </xf>
    <xf numFmtId="49" fontId="11" fillId="0" borderId="21" xfId="33" applyNumberFormat="1" applyFont="1" applyBorder="1" applyAlignment="1">
      <alignment horizontal="center" vertical="center"/>
      <protection/>
    </xf>
    <xf numFmtId="0" fontId="11" fillId="0" borderId="21" xfId="33" applyFont="1" applyBorder="1" applyAlignment="1">
      <alignment horizontal="left" vertical="center" wrapText="1" shrinkToFit="1"/>
      <protection/>
    </xf>
    <xf numFmtId="0" fontId="11" fillId="0" borderId="21" xfId="33" applyFont="1" applyBorder="1" applyAlignment="1">
      <alignment horizontal="center" vertical="center"/>
      <protection/>
    </xf>
    <xf numFmtId="0" fontId="11" fillId="0" borderId="0" xfId="33" applyFont="1" applyAlignment="1">
      <alignment vertical="center"/>
      <protection/>
    </xf>
    <xf numFmtId="49" fontId="8" fillId="0" borderId="21" xfId="33" applyNumberFormat="1" applyFont="1" applyBorder="1" applyAlignment="1">
      <alignment horizontal="center" vertical="center"/>
      <protection/>
    </xf>
    <xf numFmtId="0" fontId="8" fillId="0" borderId="21" xfId="33" applyFont="1" applyBorder="1" applyAlignment="1">
      <alignment horizontal="left" vertical="center" wrapText="1"/>
      <protection/>
    </xf>
    <xf numFmtId="0" fontId="8" fillId="0" borderId="21" xfId="33" applyFont="1" applyBorder="1" applyAlignment="1">
      <alignment horizontal="center" vertical="center"/>
      <protection/>
    </xf>
    <xf numFmtId="0" fontId="8" fillId="0" borderId="0" xfId="33" applyFont="1" applyAlignment="1">
      <alignment vertical="center"/>
      <protection/>
    </xf>
    <xf numFmtId="0" fontId="8" fillId="0" borderId="21" xfId="33" applyFont="1" applyBorder="1" applyAlignment="1">
      <alignment horizontal="left" vertical="center" wrapText="1" shrinkToFit="1"/>
      <protection/>
    </xf>
    <xf numFmtId="16" fontId="11" fillId="0" borderId="21" xfId="33" applyNumberFormat="1" applyFont="1" applyBorder="1" applyAlignment="1">
      <alignment horizontal="left" vertical="center" wrapText="1" shrinkToFit="1"/>
      <protection/>
    </xf>
    <xf numFmtId="49" fontId="8" fillId="0" borderId="66" xfId="33" applyNumberFormat="1" applyFont="1" applyBorder="1" applyAlignment="1">
      <alignment horizontal="center" vertical="center"/>
      <protection/>
    </xf>
    <xf numFmtId="0" fontId="8" fillId="0" borderId="66" xfId="33" applyFont="1" applyBorder="1" applyAlignment="1">
      <alignment horizontal="left" vertical="center" wrapText="1"/>
      <protection/>
    </xf>
    <xf numFmtId="0" fontId="8" fillId="0" borderId="66" xfId="33" applyFont="1" applyBorder="1" applyAlignment="1">
      <alignment horizontal="center" vertical="center"/>
      <protection/>
    </xf>
    <xf numFmtId="44" fontId="9" fillId="0" borderId="27" xfId="88" applyFont="1" applyBorder="1" applyAlignment="1" applyProtection="1">
      <alignment horizontal="center" vertical="center"/>
      <protection locked="0"/>
    </xf>
    <xf numFmtId="44" fontId="8" fillId="14" borderId="66" xfId="88" applyFont="1" applyFill="1" applyBorder="1" applyAlignment="1" applyProtection="1">
      <alignment horizontal="center" vertical="center"/>
      <protection locked="0"/>
    </xf>
    <xf numFmtId="0" fontId="66" fillId="0" borderId="0" xfId="87" applyFont="1" applyAlignment="1">
      <alignment vertical="center"/>
      <protection/>
    </xf>
    <xf numFmtId="0" fontId="1" fillId="0" borderId="0" xfId="33" applyFont="1" applyAlignment="1">
      <alignment vertical="center"/>
      <protection/>
    </xf>
    <xf numFmtId="49" fontId="1" fillId="0" borderId="0" xfId="33" applyNumberFormat="1" applyFont="1" applyAlignment="1">
      <alignment vertical="center"/>
      <protection/>
    </xf>
    <xf numFmtId="0" fontId="1" fillId="0" borderId="0" xfId="33" applyFont="1" applyAlignment="1">
      <alignment vertical="center" wrapText="1"/>
      <protection/>
    </xf>
    <xf numFmtId="0" fontId="55" fillId="0" borderId="0" xfId="87" applyFont="1" applyAlignment="1">
      <alignment vertical="center"/>
      <protection/>
    </xf>
    <xf numFmtId="0" fontId="47" fillId="0" borderId="0" xfId="87" applyFont="1" applyAlignment="1">
      <alignment vertical="center"/>
      <protection/>
    </xf>
    <xf numFmtId="0" fontId="66" fillId="0" borderId="0" xfId="87" applyFont="1" applyAlignment="1">
      <alignment horizontal="left" vertical="center"/>
      <protection/>
    </xf>
    <xf numFmtId="0" fontId="66" fillId="0" borderId="0" xfId="87" applyFont="1" applyAlignment="1">
      <alignment horizontal="left" vertical="center" wrapText="1"/>
      <protection/>
    </xf>
    <xf numFmtId="0" fontId="54" fillId="0" borderId="31" xfId="87" applyFont="1" applyBorder="1" applyAlignment="1">
      <alignment horizontal="left" vertical="center"/>
      <protection/>
    </xf>
    <xf numFmtId="0" fontId="69" fillId="0" borderId="0" xfId="87" applyFont="1" applyAlignment="1">
      <alignment vertical="center"/>
      <protection/>
    </xf>
    <xf numFmtId="0" fontId="55" fillId="0" borderId="25" xfId="91" applyFont="1" applyBorder="1" applyAlignment="1">
      <alignment horizontal="center" vertical="center"/>
      <protection/>
    </xf>
    <xf numFmtId="0" fontId="47" fillId="0" borderId="25" xfId="91" applyFont="1" applyBorder="1" applyAlignment="1">
      <alignment horizontal="center" vertical="center"/>
      <protection/>
    </xf>
    <xf numFmtId="164" fontId="53" fillId="5" borderId="21" xfId="77" applyFont="1" applyFill="1" applyBorder="1" applyAlignment="1" applyProtection="1">
      <alignment horizontal="center" vertical="center"/>
      <protection locked="0"/>
    </xf>
    <xf numFmtId="0" fontId="41" fillId="15" borderId="44" xfId="87" applyFont="1" applyFill="1" applyBorder="1" applyAlignment="1">
      <alignment vertical="center" wrapText="1"/>
      <protection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2" xfId="87" applyFont="1" applyBorder="1" applyAlignment="1">
      <alignment vertical="center"/>
      <protection/>
    </xf>
    <xf numFmtId="0" fontId="8" fillId="15" borderId="25" xfId="87" applyFont="1" applyFill="1" applyBorder="1" applyAlignment="1">
      <alignment vertical="center"/>
      <protection/>
    </xf>
    <xf numFmtId="14" fontId="8" fillId="15" borderId="25" xfId="87" applyNumberFormat="1" applyFont="1" applyFill="1" applyBorder="1" applyAlignment="1">
      <alignment vertical="center"/>
      <protection/>
    </xf>
    <xf numFmtId="0" fontId="8" fillId="15" borderId="21" xfId="33" applyFont="1" applyFill="1" applyBorder="1" applyAlignment="1">
      <alignment horizontal="left" vertical="center" wrapText="1" shrinkToFit="1"/>
      <protection/>
    </xf>
    <xf numFmtId="0" fontId="10" fillId="15" borderId="0" xfId="0" applyFont="1" applyFill="1" applyAlignment="1">
      <alignment vertical="center"/>
    </xf>
    <xf numFmtId="49" fontId="8" fillId="15" borderId="21" xfId="33" applyNumberFormat="1" applyFont="1" applyFill="1" applyBorder="1" applyAlignment="1">
      <alignment horizontal="center" vertical="center"/>
      <protection/>
    </xf>
    <xf numFmtId="0" fontId="36" fillId="15" borderId="31" xfId="87" applyFont="1" applyFill="1" applyBorder="1" applyAlignment="1">
      <alignment vertical="center" wrapText="1"/>
      <protection/>
    </xf>
    <xf numFmtId="164" fontId="88" fillId="0" borderId="25" xfId="77" applyFont="1" applyBorder="1" applyAlignment="1">
      <alignment horizontal="right" vertical="center"/>
    </xf>
    <xf numFmtId="0" fontId="10" fillId="15" borderId="43" xfId="0" applyFont="1" applyFill="1" applyBorder="1" applyAlignment="1">
      <alignment horizontal="center" vertical="center"/>
    </xf>
    <xf numFmtId="0" fontId="10" fillId="15" borderId="43" xfId="0" applyFont="1" applyFill="1" applyBorder="1" applyAlignment="1">
      <alignment horizontal="left" vertical="center" wrapText="1"/>
    </xf>
    <xf numFmtId="0" fontId="10" fillId="15" borderId="43" xfId="0" applyFont="1" applyFill="1" applyBorder="1" applyAlignment="1">
      <alignment horizontal="center" vertical="center" wrapText="1"/>
    </xf>
    <xf numFmtId="167" fontId="10" fillId="15" borderId="43" xfId="0" applyNumberFormat="1" applyFont="1" applyFill="1" applyBorder="1" applyAlignment="1">
      <alignment vertical="center"/>
    </xf>
    <xf numFmtId="164" fontId="10" fillId="0" borderId="0" xfId="77" applyFont="1" applyAlignment="1" applyProtection="1">
      <alignment vertical="center"/>
      <protection/>
    </xf>
    <xf numFmtId="14" fontId="8" fillId="15" borderId="0" xfId="0" applyNumberFormat="1" applyFont="1" applyFill="1" applyAlignment="1">
      <alignment horizontal="center" vertical="center" wrapText="1"/>
    </xf>
    <xf numFmtId="0" fontId="27" fillId="0" borderId="67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10" fontId="25" fillId="10" borderId="25" xfId="21" applyNumberFormat="1" applyFont="1" applyFill="1" applyBorder="1" applyAlignment="1" applyProtection="1">
      <alignment horizontal="right" vertical="center" wrapText="1"/>
      <protection locked="0"/>
    </xf>
    <xf numFmtId="164" fontId="25" fillId="0" borderId="25" xfId="77" applyFont="1" applyBorder="1" applyAlignment="1" applyProtection="1">
      <alignment horizontal="center" vertical="center" wrapText="1"/>
      <protection/>
    </xf>
    <xf numFmtId="164" fontId="25" fillId="0" borderId="25" xfId="77" applyFont="1" applyBorder="1" applyAlignment="1" applyProtection="1">
      <alignment horizontal="right" vertical="center"/>
      <protection/>
    </xf>
    <xf numFmtId="4" fontId="25" fillId="0" borderId="25" xfId="0" applyNumberFormat="1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68" xfId="0" applyFont="1" applyBorder="1" applyAlignment="1">
      <alignment vertical="center"/>
    </xf>
    <xf numFmtId="4" fontId="25" fillId="0" borderId="44" xfId="0" applyNumberFormat="1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0" fontId="27" fillId="0" borderId="44" xfId="0" applyFont="1" applyBorder="1" applyAlignment="1">
      <alignment horizontal="left" vertical="center" wrapText="1"/>
    </xf>
    <xf numFmtId="165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" fontId="12" fillId="3" borderId="9" xfId="0" applyNumberFormat="1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69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4" fontId="8" fillId="15" borderId="0" xfId="0" applyNumberFormat="1" applyFont="1" applyFill="1" applyAlignment="1">
      <alignment horizontal="right" vertical="center" wrapText="1"/>
    </xf>
    <xf numFmtId="0" fontId="10" fillId="15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0" fillId="10" borderId="0" xfId="0" applyFont="1" applyFill="1" applyAlignment="1" applyProtection="1">
      <alignment horizontal="left" vertical="center"/>
      <protection locked="0"/>
    </xf>
    <xf numFmtId="0" fontId="8" fillId="15" borderId="0" xfId="0" applyFont="1" applyFill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4" fontId="9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3" borderId="9" xfId="0" applyFont="1" applyFill="1" applyBorder="1" applyAlignment="1">
      <alignment horizontal="left" vertical="center"/>
    </xf>
    <xf numFmtId="4" fontId="22" fillId="4" borderId="0" xfId="0" applyNumberFormat="1" applyFont="1" applyFill="1" applyAlignment="1">
      <alignment vertical="center"/>
    </xf>
    <xf numFmtId="166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4" borderId="69" xfId="0" applyFont="1" applyFill="1" applyBorder="1" applyAlignment="1">
      <alignment horizontal="left" vertical="center"/>
    </xf>
    <xf numFmtId="4" fontId="10" fillId="0" borderId="43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8" fillId="4" borderId="41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8" fillId="4" borderId="70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/>
    </xf>
    <xf numFmtId="4" fontId="10" fillId="10" borderId="43" xfId="0" applyNumberFormat="1" applyFont="1" applyFill="1" applyBorder="1" applyAlignment="1" applyProtection="1">
      <alignment vertical="center"/>
      <protection locked="0"/>
    </xf>
    <xf numFmtId="0" fontId="59" fillId="0" borderId="41" xfId="0" applyFont="1" applyBorder="1" applyAlignment="1">
      <alignment horizontal="left" vertical="center" wrapText="1"/>
    </xf>
    <xf numFmtId="0" fontId="59" fillId="0" borderId="41" xfId="0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7" fillId="8" borderId="16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 wrapText="1"/>
    </xf>
    <xf numFmtId="4" fontId="12" fillId="4" borderId="9" xfId="0" applyNumberFormat="1" applyFont="1" applyFill="1" applyBorder="1" applyAlignment="1">
      <alignment vertical="center"/>
    </xf>
    <xf numFmtId="4" fontId="12" fillId="4" borderId="69" xfId="0" applyNumberFormat="1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4" fontId="23" fillId="0" borderId="0" xfId="0" applyNumberFormat="1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0" fontId="92" fillId="0" borderId="41" xfId="0" applyFont="1" applyBorder="1" applyAlignment="1">
      <alignment horizontal="left" vertical="center" wrapText="1"/>
    </xf>
    <xf numFmtId="0" fontId="92" fillId="0" borderId="41" xfId="0" applyFont="1" applyBorder="1" applyAlignment="1">
      <alignment vertical="center"/>
    </xf>
    <xf numFmtId="0" fontId="73" fillId="8" borderId="42" xfId="0" applyFont="1" applyFill="1" applyBorder="1" applyAlignment="1">
      <alignment horizontal="left" vertical="center" wrapText="1"/>
    </xf>
    <xf numFmtId="0" fontId="73" fillId="8" borderId="41" xfId="0" applyFont="1" applyFill="1" applyBorder="1" applyAlignment="1">
      <alignment horizontal="left" vertical="center" wrapText="1"/>
    </xf>
    <xf numFmtId="0" fontId="73" fillId="8" borderId="70" xfId="0" applyFont="1" applyFill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4" fontId="29" fillId="10" borderId="43" xfId="0" applyNumberFormat="1" applyFont="1" applyFill="1" applyBorder="1" applyAlignment="1" applyProtection="1">
      <alignment vertical="center"/>
      <protection locked="0"/>
    </xf>
    <xf numFmtId="4" fontId="29" fillId="0" borderId="43" xfId="0" applyNumberFormat="1" applyFont="1" applyBorder="1" applyAlignment="1">
      <alignment vertical="center"/>
    </xf>
    <xf numFmtId="4" fontId="73" fillId="8" borderId="43" xfId="0" applyNumberFormat="1" applyFont="1" applyFill="1" applyBorder="1" applyAlignment="1" applyProtection="1">
      <alignment vertical="center"/>
      <protection locked="0"/>
    </xf>
    <xf numFmtId="4" fontId="73" fillId="8" borderId="43" xfId="0" applyNumberFormat="1" applyFont="1" applyFill="1" applyBorder="1" applyAlignment="1">
      <alignment vertical="center"/>
    </xf>
    <xf numFmtId="10" fontId="10" fillId="10" borderId="42" xfId="21" applyNumberFormat="1" applyFont="1" applyFill="1" applyBorder="1" applyAlignment="1" applyProtection="1">
      <alignment vertical="center"/>
      <protection locked="0"/>
    </xf>
    <xf numFmtId="10" fontId="10" fillId="10" borderId="70" xfId="21" applyNumberFormat="1" applyFont="1" applyFill="1" applyBorder="1" applyAlignment="1" applyProtection="1">
      <alignment vertical="center"/>
      <protection locked="0"/>
    </xf>
    <xf numFmtId="4" fontId="10" fillId="0" borderId="42" xfId="0" applyNumberFormat="1" applyFont="1" applyBorder="1" applyAlignment="1">
      <alignment vertical="center"/>
    </xf>
    <xf numFmtId="4" fontId="10" fillId="0" borderId="41" xfId="0" applyNumberFormat="1" applyFont="1" applyBorder="1" applyAlignment="1">
      <alignment vertical="center"/>
    </xf>
    <xf numFmtId="4" fontId="10" fillId="0" borderId="70" xfId="0" applyNumberFormat="1" applyFont="1" applyBorder="1" applyAlignment="1">
      <alignment vertical="center"/>
    </xf>
    <xf numFmtId="0" fontId="10" fillId="0" borderId="42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4" fontId="10" fillId="10" borderId="42" xfId="0" applyNumberFormat="1" applyFont="1" applyFill="1" applyBorder="1" applyAlignment="1" applyProtection="1">
      <alignment vertical="center"/>
      <protection locked="0"/>
    </xf>
    <xf numFmtId="4" fontId="10" fillId="10" borderId="70" xfId="0" applyNumberFormat="1" applyFont="1" applyFill="1" applyBorder="1" applyAlignment="1" applyProtection="1">
      <alignment vertical="center"/>
      <protection locked="0"/>
    </xf>
    <xf numFmtId="10" fontId="10" fillId="10" borderId="43" xfId="21" applyNumberFormat="1" applyFont="1" applyFill="1" applyBorder="1" applyAlignment="1" applyProtection="1">
      <alignment vertical="center"/>
      <protection locked="0"/>
    </xf>
    <xf numFmtId="4" fontId="27" fillId="8" borderId="41" xfId="0" applyNumberFormat="1" applyFont="1" applyFill="1" applyBorder="1" applyAlignment="1">
      <alignment vertical="center"/>
    </xf>
    <xf numFmtId="4" fontId="10" fillId="0" borderId="43" xfId="0" applyNumberFormat="1" applyFont="1" applyBorder="1" applyAlignment="1" applyProtection="1">
      <alignment vertical="center"/>
      <protection locked="0"/>
    </xf>
    <xf numFmtId="0" fontId="29" fillId="0" borderId="42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center" wrapText="1"/>
    </xf>
    <xf numFmtId="0" fontId="29" fillId="0" borderId="70" xfId="0" applyFont="1" applyBorder="1" applyAlignment="1">
      <alignment horizontal="left" vertical="center" wrapText="1"/>
    </xf>
    <xf numFmtId="4" fontId="29" fillId="10" borderId="42" xfId="0" applyNumberFormat="1" applyFont="1" applyFill="1" applyBorder="1" applyAlignment="1" applyProtection="1">
      <alignment vertical="center"/>
      <protection locked="0"/>
    </xf>
    <xf numFmtId="4" fontId="29" fillId="10" borderId="70" xfId="0" applyNumberFormat="1" applyFont="1" applyFill="1" applyBorder="1" applyAlignment="1" applyProtection="1">
      <alignment vertical="center"/>
      <protection locked="0"/>
    </xf>
    <xf numFmtId="4" fontId="29" fillId="0" borderId="42" xfId="0" applyNumberFormat="1" applyFont="1" applyBorder="1" applyAlignment="1">
      <alignment vertical="center"/>
    </xf>
    <xf numFmtId="4" fontId="29" fillId="0" borderId="41" xfId="0" applyNumberFormat="1" applyFont="1" applyBorder="1" applyAlignment="1">
      <alignment vertical="center"/>
    </xf>
    <xf numFmtId="4" fontId="29" fillId="0" borderId="70" xfId="0" applyNumberFormat="1" applyFont="1" applyBorder="1" applyAlignment="1">
      <alignment vertical="center"/>
    </xf>
    <xf numFmtId="0" fontId="62" fillId="0" borderId="41" xfId="0" applyFont="1" applyBorder="1" applyAlignment="1">
      <alignment horizontal="left" vertical="center" wrapText="1"/>
    </xf>
    <xf numFmtId="0" fontId="62" fillId="0" borderId="41" xfId="0" applyFont="1" applyBorder="1" applyAlignment="1">
      <alignment vertical="center"/>
    </xf>
    <xf numFmtId="4" fontId="24" fillId="0" borderId="11" xfId="0" applyNumberFormat="1" applyFont="1" applyBorder="1" applyAlignment="1">
      <alignment vertical="center"/>
    </xf>
    <xf numFmtId="0" fontId="74" fillId="0" borderId="41" xfId="0" applyFont="1" applyBorder="1" applyAlignment="1">
      <alignment horizontal="left" vertical="center" wrapText="1"/>
    </xf>
    <xf numFmtId="4" fontId="73" fillId="0" borderId="43" xfId="0" applyNumberFormat="1" applyFont="1" applyBorder="1" applyAlignment="1">
      <alignment vertical="center"/>
    </xf>
    <xf numFmtId="0" fontId="73" fillId="0" borderId="42" xfId="0" applyFont="1" applyBorder="1" applyAlignment="1">
      <alignment horizontal="left" vertical="center" wrapText="1"/>
    </xf>
    <xf numFmtId="0" fontId="73" fillId="0" borderId="41" xfId="0" applyFont="1" applyBorder="1" applyAlignment="1">
      <alignment horizontal="left" vertical="center" wrapText="1"/>
    </xf>
    <xf numFmtId="0" fontId="73" fillId="0" borderId="70" xfId="0" applyFont="1" applyBorder="1" applyAlignment="1">
      <alignment horizontal="left" vertical="center" wrapText="1"/>
    </xf>
    <xf numFmtId="4" fontId="73" fillId="0" borderId="43" xfId="0" applyNumberFormat="1" applyFont="1" applyBorder="1" applyAlignment="1" applyProtection="1">
      <alignment vertical="center"/>
      <protection locked="0"/>
    </xf>
    <xf numFmtId="0" fontId="10" fillId="15" borderId="43" xfId="0" applyFont="1" applyFill="1" applyBorder="1" applyAlignment="1">
      <alignment horizontal="left" vertical="center" wrapText="1"/>
    </xf>
    <xf numFmtId="0" fontId="10" fillId="15" borderId="0" xfId="0" applyFont="1" applyFill="1" applyAlignment="1">
      <alignment horizontal="left" vertical="center"/>
    </xf>
    <xf numFmtId="0" fontId="8" fillId="15" borderId="0" xfId="0" applyFont="1" applyFill="1" applyAlignment="1">
      <alignment horizontal="left" vertical="center" wrapText="1"/>
    </xf>
    <xf numFmtId="0" fontId="8" fillId="0" borderId="52" xfId="87" applyFont="1" applyBorder="1" applyAlignment="1">
      <alignment horizontal="left" vertical="center"/>
      <protection/>
    </xf>
    <xf numFmtId="0" fontId="8" fillId="0" borderId="25" xfId="87" applyFont="1" applyBorder="1" applyAlignment="1">
      <alignment horizontal="left" vertical="center"/>
      <protection/>
    </xf>
    <xf numFmtId="0" fontId="8" fillId="0" borderId="24" xfId="87" applyFont="1" applyBorder="1" applyAlignment="1">
      <alignment horizontal="left" vertical="center"/>
      <protection/>
    </xf>
    <xf numFmtId="0" fontId="31" fillId="0" borderId="22" xfId="87" applyFont="1" applyBorder="1" applyAlignment="1">
      <alignment horizontal="left" vertical="center"/>
      <protection/>
    </xf>
    <xf numFmtId="0" fontId="31" fillId="0" borderId="23" xfId="87" applyFont="1" applyBorder="1" applyAlignment="1">
      <alignment horizontal="left" vertical="center"/>
      <protection/>
    </xf>
    <xf numFmtId="0" fontId="35" fillId="11" borderId="31" xfId="87" applyFont="1" applyFill="1" applyBorder="1" applyAlignment="1">
      <alignment horizontal="left" vertical="center"/>
      <protection/>
    </xf>
    <xf numFmtId="0" fontId="35" fillId="11" borderId="35" xfId="87" applyFont="1" applyFill="1" applyBorder="1" applyAlignment="1">
      <alignment horizontal="left" vertical="center"/>
      <protection/>
    </xf>
    <xf numFmtId="0" fontId="35" fillId="11" borderId="53" xfId="87" applyFont="1" applyFill="1" applyBorder="1" applyAlignment="1">
      <alignment horizontal="left" vertical="center"/>
      <protection/>
    </xf>
    <xf numFmtId="0" fontId="41" fillId="0" borderId="0" xfId="87" applyFont="1" applyAlignment="1">
      <alignment horizontal="left" vertical="center" wrapText="1"/>
      <protection/>
    </xf>
    <xf numFmtId="49" fontId="49" fillId="0" borderId="0" xfId="87" applyNumberFormat="1" applyFont="1" applyAlignment="1">
      <alignment horizontal="left" vertical="center" wrapText="1"/>
      <protection/>
    </xf>
    <xf numFmtId="49" fontId="41" fillId="0" borderId="0" xfId="87" applyNumberFormat="1" applyFont="1" applyAlignment="1">
      <alignment horizontal="left" vertical="center" wrapText="1"/>
      <protection/>
    </xf>
    <xf numFmtId="0" fontId="11" fillId="0" borderId="52" xfId="87" applyFont="1" applyBorder="1" applyAlignment="1">
      <alignment horizontal="left" vertical="center"/>
      <protection/>
    </xf>
    <xf numFmtId="0" fontId="11" fillId="0" borderId="25" xfId="87" applyFont="1" applyBorder="1" applyAlignment="1">
      <alignment horizontal="left" vertical="center"/>
      <protection/>
    </xf>
    <xf numFmtId="0" fontId="11" fillId="0" borderId="24" xfId="87" applyFont="1" applyBorder="1" applyAlignment="1">
      <alignment horizontal="left" vertical="center"/>
      <protection/>
    </xf>
    <xf numFmtId="0" fontId="32" fillId="0" borderId="71" xfId="87" applyFont="1" applyBorder="1" applyAlignment="1">
      <alignment horizontal="left" vertical="center"/>
      <protection/>
    </xf>
    <xf numFmtId="0" fontId="32" fillId="0" borderId="72" xfId="87" applyFont="1" applyBorder="1" applyAlignment="1">
      <alignment horizontal="left" vertical="center"/>
      <protection/>
    </xf>
    <xf numFmtId="0" fontId="32" fillId="0" borderId="73" xfId="87" applyFont="1" applyBorder="1" applyAlignment="1">
      <alignment horizontal="left" vertical="center"/>
      <protection/>
    </xf>
    <xf numFmtId="0" fontId="31" fillId="0" borderId="74" xfId="87" applyFont="1" applyBorder="1" applyAlignment="1">
      <alignment horizontal="left" vertical="center"/>
      <protection/>
    </xf>
    <xf numFmtId="0" fontId="4" fillId="0" borderId="75" xfId="87" applyFont="1" applyBorder="1" applyAlignment="1">
      <alignment horizontal="left" vertical="center" wrapText="1"/>
      <protection/>
    </xf>
    <xf numFmtId="0" fontId="4" fillId="0" borderId="76" xfId="87" applyFont="1" applyBorder="1" applyAlignment="1">
      <alignment vertical="center" wrapText="1"/>
      <protection/>
    </xf>
    <xf numFmtId="0" fontId="4" fillId="0" borderId="77" xfId="87" applyFont="1" applyBorder="1" applyAlignment="1">
      <alignment vertical="center" wrapText="1"/>
      <protection/>
    </xf>
    <xf numFmtId="0" fontId="8" fillId="0" borderId="74" xfId="87" applyFont="1" applyBorder="1" applyAlignment="1">
      <alignment horizontal="left" vertical="center"/>
      <protection/>
    </xf>
    <xf numFmtId="164" fontId="31" fillId="0" borderId="35" xfId="77" applyFont="1" applyFill="1" applyBorder="1" applyAlignment="1" applyProtection="1">
      <alignment horizontal="center" vertical="center"/>
      <protection/>
    </xf>
    <xf numFmtId="164" fontId="31" fillId="0" borderId="53" xfId="77" applyFont="1" applyFill="1" applyBorder="1" applyAlignment="1" applyProtection="1">
      <alignment horizontal="center" vertical="center"/>
      <protection/>
    </xf>
    <xf numFmtId="0" fontId="49" fillId="0" borderId="0" xfId="87" applyFont="1" applyAlignment="1">
      <alignment horizontal="left" vertical="center" wrapText="1"/>
      <protection/>
    </xf>
    <xf numFmtId="0" fontId="47" fillId="0" borderId="0" xfId="87" applyFont="1" applyAlignment="1">
      <alignment horizontal="left" vertical="center" wrapText="1"/>
      <protection/>
    </xf>
    <xf numFmtId="0" fontId="8" fillId="0" borderId="78" xfId="87" applyFont="1" applyBorder="1" applyAlignment="1">
      <alignment horizontal="center" vertical="center"/>
      <protection/>
    </xf>
    <xf numFmtId="0" fontId="8" fillId="0" borderId="79" xfId="87" applyFont="1" applyBorder="1" applyAlignment="1">
      <alignment horizontal="center" vertical="center"/>
      <protection/>
    </xf>
    <xf numFmtId="0" fontId="8" fillId="0" borderId="80" xfId="87" applyFont="1" applyBorder="1" applyAlignment="1">
      <alignment horizontal="center" vertical="center"/>
      <protection/>
    </xf>
    <xf numFmtId="0" fontId="8" fillId="15" borderId="25" xfId="87" applyFont="1" applyFill="1" applyBorder="1" applyAlignment="1">
      <alignment horizontal="left" vertical="center" wrapText="1"/>
      <protection/>
    </xf>
    <xf numFmtId="0" fontId="8" fillId="15" borderId="24" xfId="87" applyFont="1" applyFill="1" applyBorder="1" applyAlignment="1">
      <alignment horizontal="left" vertical="center" wrapText="1"/>
      <protection/>
    </xf>
    <xf numFmtId="169" fontId="80" fillId="0" borderId="81" xfId="88" applyNumberFormat="1" applyFont="1" applyBorder="1" applyAlignment="1" applyProtection="1">
      <alignment horizontal="center"/>
      <protection/>
    </xf>
    <xf numFmtId="169" fontId="80" fillId="0" borderId="82" xfId="88" applyNumberFormat="1" applyFont="1" applyBorder="1" applyAlignment="1" applyProtection="1">
      <alignment horizontal="center"/>
      <protection/>
    </xf>
    <xf numFmtId="169" fontId="80" fillId="0" borderId="83" xfId="88" applyNumberFormat="1" applyFont="1" applyBorder="1" applyAlignment="1" applyProtection="1">
      <alignment horizontal="center"/>
      <protection/>
    </xf>
    <xf numFmtId="49" fontId="80" fillId="0" borderId="81" xfId="0" applyNumberFormat="1" applyFont="1" applyBorder="1" applyAlignment="1">
      <alignment horizontal="center"/>
    </xf>
    <xf numFmtId="49" fontId="80" fillId="0" borderId="82" xfId="0" applyNumberFormat="1" applyFont="1" applyBorder="1" applyAlignment="1">
      <alignment horizontal="center"/>
    </xf>
    <xf numFmtId="49" fontId="80" fillId="0" borderId="83" xfId="0" applyNumberFormat="1" applyFont="1" applyBorder="1" applyAlignment="1">
      <alignment horizontal="center"/>
    </xf>
    <xf numFmtId="0" fontId="52" fillId="0" borderId="34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31" fillId="0" borderId="0" xfId="87" applyFont="1" applyAlignment="1">
      <alignment horizontal="left" vertical="center"/>
      <protection/>
    </xf>
    <xf numFmtId="0" fontId="8" fillId="0" borderId="0" xfId="87" applyFont="1" applyAlignment="1">
      <alignment horizontal="left" vertical="center"/>
      <protection/>
    </xf>
    <xf numFmtId="164" fontId="9" fillId="0" borderId="35" xfId="77" applyFont="1" applyFill="1" applyBorder="1" applyAlignment="1" applyProtection="1">
      <alignment horizontal="center" vertical="center"/>
      <protection/>
    </xf>
    <xf numFmtId="164" fontId="9" fillId="0" borderId="53" xfId="77" applyFont="1" applyFill="1" applyBorder="1" applyAlignment="1" applyProtection="1">
      <alignment horizontal="center" vertical="center"/>
      <protection/>
    </xf>
    <xf numFmtId="0" fontId="31" fillId="6" borderId="31" xfId="33" applyFont="1" applyFill="1" applyBorder="1" applyAlignment="1">
      <alignment horizontal="left" vertical="center"/>
      <protection/>
    </xf>
    <xf numFmtId="0" fontId="31" fillId="6" borderId="35" xfId="33" applyFont="1" applyFill="1" applyBorder="1" applyAlignment="1">
      <alignment horizontal="left" vertical="center"/>
      <protection/>
    </xf>
    <xf numFmtId="44" fontId="31" fillId="6" borderId="35" xfId="88" applyFont="1" applyFill="1" applyBorder="1" applyAlignment="1" applyProtection="1">
      <alignment horizontal="right" vertical="center"/>
      <protection/>
    </xf>
    <xf numFmtId="44" fontId="31" fillId="6" borderId="53" xfId="88" applyFont="1" applyFill="1" applyBorder="1" applyAlignment="1" applyProtection="1">
      <alignment horizontal="right" vertical="center"/>
      <protection/>
    </xf>
    <xf numFmtId="0" fontId="8" fillId="15" borderId="68" xfId="87" applyFont="1" applyFill="1" applyBorder="1" applyAlignment="1">
      <alignment horizontal="left" vertical="center" wrapText="1"/>
      <protection/>
    </xf>
    <xf numFmtId="0" fontId="8" fillId="15" borderId="67" xfId="87" applyFont="1" applyFill="1" applyBorder="1" applyAlignment="1">
      <alignment horizontal="left" vertical="center" wrapText="1"/>
      <protection/>
    </xf>
    <xf numFmtId="0" fontId="55" fillId="0" borderId="0" xfId="87" applyFont="1" applyAlignment="1">
      <alignment horizontal="left" vertical="center"/>
      <protection/>
    </xf>
    <xf numFmtId="0" fontId="71" fillId="0" borderId="0" xfId="80" applyFont="1" applyAlignment="1" applyProtection="1">
      <alignment horizontal="left" vertical="center"/>
      <protection/>
    </xf>
    <xf numFmtId="49" fontId="70" fillId="0" borderId="0" xfId="80" applyNumberFormat="1" applyFont="1" applyAlignment="1" applyProtection="1">
      <alignment horizontal="left" vertical="center"/>
      <protection/>
    </xf>
    <xf numFmtId="3" fontId="54" fillId="5" borderId="32" xfId="80" applyNumberFormat="1" applyFont="1" applyFill="1" applyBorder="1" applyAlignment="1" applyProtection="1">
      <alignment horizontal="left" vertical="center" wrapText="1" indent="2"/>
      <protection/>
    </xf>
    <xf numFmtId="3" fontId="54" fillId="5" borderId="84" xfId="80" applyNumberFormat="1" applyFont="1" applyFill="1" applyBorder="1" applyAlignment="1" applyProtection="1">
      <alignment horizontal="left" vertical="center" wrapText="1" indent="2"/>
      <protection/>
    </xf>
    <xf numFmtId="44" fontId="54" fillId="5" borderId="84" xfId="88" applyFont="1" applyFill="1" applyBorder="1" applyAlignment="1" applyProtection="1">
      <alignment horizontal="center" vertical="center"/>
      <protection/>
    </xf>
    <xf numFmtId="44" fontId="54" fillId="5" borderId="85" xfId="88" applyFont="1" applyFill="1" applyBorder="1" applyAlignment="1" applyProtection="1">
      <alignment horizontal="center" vertical="center"/>
      <protection/>
    </xf>
  </cellXfs>
  <cellStyles count="1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rocent" xfId="21"/>
    <cellStyle name="Normální 2" xfId="22"/>
    <cellStyle name="Čárka 4" xfId="23"/>
    <cellStyle name="Normální 3" xfId="24"/>
    <cellStyle name="Měna 2" xfId="25"/>
    <cellStyle name="Normální 4" xfId="26"/>
    <cellStyle name="40 % – Zvýraznění6 3" xfId="27"/>
    <cellStyle name="Normální 5" xfId="28"/>
    <cellStyle name="Čárka 2" xfId="29"/>
    <cellStyle name="normální 80" xfId="30"/>
    <cellStyle name="Normal_J35_Galerie HARFA_VV" xfId="31"/>
    <cellStyle name="Hypertextový odkaz 2" xfId="32"/>
    <cellStyle name="Normální 12" xfId="33"/>
    <cellStyle name="Normální 2 3" xfId="34"/>
    <cellStyle name="Měna 2 2" xfId="35"/>
    <cellStyle name="normální 2 2" xfId="36"/>
    <cellStyle name="Normální 3 2" xfId="37"/>
    <cellStyle name="Čárka 3" xfId="38"/>
    <cellStyle name="Normální 2 4" xfId="39"/>
    <cellStyle name="Normální 2 5" xfId="40"/>
    <cellStyle name="normální 2 2 2" xfId="41"/>
    <cellStyle name="Normální 2 6" xfId="42"/>
    <cellStyle name="Měna 2 3" xfId="43"/>
    <cellStyle name="Normální 12 2" xfId="44"/>
    <cellStyle name="Čárka 5" xfId="45"/>
    <cellStyle name="Měna 2 5" xfId="46"/>
    <cellStyle name="Čárka 2 3" xfId="47"/>
    <cellStyle name="Měna 2 2 2" xfId="48"/>
    <cellStyle name="Čárka 3 2" xfId="49"/>
    <cellStyle name="Měna 2 3 2" xfId="50"/>
    <cellStyle name="Normální 3 3" xfId="51"/>
    <cellStyle name="Měna 2 4" xfId="52"/>
    <cellStyle name="Normální 4 2" xfId="53"/>
    <cellStyle name="Čárka 2 2" xfId="54"/>
    <cellStyle name="Normální 2 3 2" xfId="55"/>
    <cellStyle name="Normální 2 6 2" xfId="56"/>
    <cellStyle name="Normální 2 4 2" xfId="57"/>
    <cellStyle name="Měna 2 2 3" xfId="58"/>
    <cellStyle name="Hypertextový odkaz 2 2" xfId="59"/>
    <cellStyle name="Normální 2 5 2" xfId="60"/>
    <cellStyle name="Normální 6" xfId="61"/>
    <cellStyle name="Měna 2 6" xfId="62"/>
    <cellStyle name="Normální 5 2" xfId="63"/>
    <cellStyle name="Normální 6 2" xfId="64"/>
    <cellStyle name="Měna 3" xfId="65"/>
    <cellStyle name="Měna 2 2 4" xfId="66"/>
    <cellStyle name="normální 2 2 2 2" xfId="67"/>
    <cellStyle name="Měna 2 3 3" xfId="68"/>
    <cellStyle name="Normální 12 2 2" xfId="69"/>
    <cellStyle name="Měna 2 5 2" xfId="70"/>
    <cellStyle name="Měna 2 2 2 2" xfId="71"/>
    <cellStyle name="Měna 2 3 2 2" xfId="72"/>
    <cellStyle name="Normální 3 3 2" xfId="73"/>
    <cellStyle name="Měna 2 4 2" xfId="74"/>
    <cellStyle name="Měna 2 2 3 2" xfId="75"/>
    <cellStyle name="Normální 6 3" xfId="76"/>
    <cellStyle name="čárky" xfId="77"/>
    <cellStyle name="Normální 7" xfId="78"/>
    <cellStyle name="měny 2 2" xfId="79"/>
    <cellStyle name="Normální 8" xfId="80"/>
    <cellStyle name="Čárka 2 4" xfId="81"/>
    <cellStyle name="Normální 2 7" xfId="82"/>
    <cellStyle name="Excel Built-in Normal" xfId="83"/>
    <cellStyle name="Normální 4 2 2 2" xfId="84"/>
    <cellStyle name="Normální 9" xfId="85"/>
    <cellStyle name="Čárka 2 5" xfId="86"/>
    <cellStyle name="Normální 10" xfId="87"/>
    <cellStyle name="měny" xfId="88"/>
    <cellStyle name="Měna 4" xfId="89"/>
    <cellStyle name="Čárka 2 6" xfId="90"/>
    <cellStyle name="normální_příčky - var. 007 2" xfId="91"/>
    <cellStyle name="Normální 11" xfId="92"/>
    <cellStyle name="Měna 2 7" xfId="93"/>
    <cellStyle name="Měna 2 2 5" xfId="94"/>
    <cellStyle name="Měna 2 3 4" xfId="95"/>
    <cellStyle name="Měna 2 5 3" xfId="96"/>
    <cellStyle name="Měna 2 2 2 3" xfId="97"/>
    <cellStyle name="Měna 2 3 2 3" xfId="98"/>
    <cellStyle name="Měna 2 4 3" xfId="99"/>
    <cellStyle name="Měna 2 2 3 3" xfId="100"/>
    <cellStyle name="Měna 2 6 2" xfId="101"/>
    <cellStyle name="Měna 3 2" xfId="102"/>
    <cellStyle name="Měna 2 2 4 2" xfId="103"/>
    <cellStyle name="Měna 2 3 3 2" xfId="104"/>
    <cellStyle name="Měna 2 5 2 2" xfId="105"/>
    <cellStyle name="Měna 2 2 2 2 2" xfId="106"/>
    <cellStyle name="Měna 2 3 2 2 2" xfId="107"/>
    <cellStyle name="Měna 2 4 2 2" xfId="108"/>
    <cellStyle name="Měna 2 2 3 2 2" xfId="109"/>
    <cellStyle name="Čárka 6" xfId="110"/>
    <cellStyle name="měny 2 2 2" xfId="111"/>
    <cellStyle name="Čárka 2 4 2" xfId="112"/>
    <cellStyle name="Čárka 2 5 2" xfId="113"/>
    <cellStyle name="Měna 5" xfId="114"/>
    <cellStyle name="Měna 4 2" xfId="115"/>
    <cellStyle name="Čárka 2 6 2" xfId="116"/>
    <cellStyle name="Normální 11 2" xfId="117"/>
    <cellStyle name="Měna 2 8" xfId="118"/>
    <cellStyle name="Měna 2 2 6" xfId="119"/>
    <cellStyle name="Měna 2 3 5" xfId="120"/>
    <cellStyle name="Měna 2 5 4" xfId="121"/>
    <cellStyle name="Měna 2 2 2 4" xfId="122"/>
    <cellStyle name="Měna 2 3 2 4" xfId="123"/>
    <cellStyle name="Měna 2 4 4" xfId="124"/>
    <cellStyle name="Měna 2 2 3 4" xfId="125"/>
    <cellStyle name="Měna 2 6 3" xfId="126"/>
    <cellStyle name="Měna 3 3" xfId="127"/>
    <cellStyle name="Měna 2 2 4 3" xfId="128"/>
    <cellStyle name="Měna 2 3 3 3" xfId="129"/>
    <cellStyle name="Měna 2 5 2 3" xfId="130"/>
    <cellStyle name="Měna 2 2 2 2 3" xfId="131"/>
    <cellStyle name="Měna 2 3 2 2 3" xfId="132"/>
    <cellStyle name="Měna 2 4 2 3" xfId="133"/>
    <cellStyle name="Měna 2 2 3 2 3" xfId="134"/>
    <cellStyle name="Čárka 7" xfId="135"/>
    <cellStyle name="měny 2 2 3" xfId="136"/>
    <cellStyle name="Čárka 2 4 3" xfId="137"/>
    <cellStyle name="Čárka 2 5 3" xfId="138"/>
    <cellStyle name="Měna 6" xfId="139"/>
    <cellStyle name="Měna 4 3" xfId="140"/>
    <cellStyle name="Čárka 2 6 3" xfId="141"/>
    <cellStyle name="Normální 11 3" xfId="142"/>
    <cellStyle name="Měna 2 7 2" xfId="143"/>
    <cellStyle name="Měna 2 2 5 2" xfId="144"/>
    <cellStyle name="Měna 2 3 4 2" xfId="145"/>
    <cellStyle name="Měna 2 5 3 2" xfId="146"/>
    <cellStyle name="Měna 2 2 2 3 2" xfId="147"/>
    <cellStyle name="Měna 2 3 2 3 2" xfId="148"/>
    <cellStyle name="Měna 2 4 3 2" xfId="149"/>
    <cellStyle name="Měna 2 2 3 3 2" xfId="150"/>
    <cellStyle name="Měna 2 6 2 2" xfId="151"/>
    <cellStyle name="Měna 3 2 2" xfId="152"/>
    <cellStyle name="Měna 2 2 4 2 2" xfId="153"/>
    <cellStyle name="Měna 2 3 3 2 2" xfId="154"/>
    <cellStyle name="Měna 2 5 2 2 2" xfId="155"/>
    <cellStyle name="Měna 2 2 2 2 2 2" xfId="156"/>
    <cellStyle name="Měna 2 3 2 2 2 2" xfId="157"/>
    <cellStyle name="Měna 2 4 2 2 2" xfId="158"/>
    <cellStyle name="Měna 2 2 3 2 2 2" xfId="159"/>
    <cellStyle name="Čárka 6 2" xfId="160"/>
    <cellStyle name="měny 2 2 2 2" xfId="161"/>
    <cellStyle name="Čárka 2 4 2 2" xfId="162"/>
    <cellStyle name="Čárka 2 5 2 2" xfId="163"/>
    <cellStyle name="Měna 5 2" xfId="164"/>
    <cellStyle name="Měna 4 2 2" xfId="165"/>
    <cellStyle name="Čárka 2 6 2 2" xfId="166"/>
    <cellStyle name="Normální 11 2 2" xfId="167"/>
    <cellStyle name="normální_aktuální specifikace" xfId="16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032-ROP_Radlick&#225;%20Office%20Park\04-Data%20Transfer\OUT\RED%20GROUP_client\180522_Upravy%20dokumentace\Revize%20VV\Kotelna%20Park%20II.etapa%20VV%20ocen&#283;n&#253;_CT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ILDpowerS\Templates\Rozpocty\Sablon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HotelWindSM_KASTT\marek\EXCEL\ROZP98\Rokyt\Roky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kce\3130_Jedli&#269;k&#367;v%20&#250;stav\V&#253;stupy_2\RO_Dostavba%20Jedli&#269;kova%20&#250;stavu%20a%20&#353;kol%20-%20II.etap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rius\company\_Akce\3130_Jedli&#269;k&#367;v%20&#250;stav\V&#253;stupy_2\RO_Dostavba%20Jedli&#269;kova%20&#250;stavu%20a%20&#353;kol%20-%20II.etap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Akce\3130_Jedli&#269;k&#367;v%20&#250;stav\V&#253;stupy_2\RO_Dostavba%20Jedli&#269;kova%20&#250;stavu%20a%20&#353;kol%20-%20II.etap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AKTURA1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SE_Lanskroun_KASTT\SCH_EL_Lanskroun_rozp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CPS%20HK_KASTT\CPS%20HK_rozp&#269;e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nap\AppData\Local\Microsoft\Windows\Temporary%20Internet%20Files\Content.Outlook\PXTK1PVH\I34_Rekonstrukcee%20VO_R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OM\Magic%20Hill\Do%20EC\Rozpo&#269;ty\SO%2001,%20SO%2002%20D.1.4.1-%20D.1.4.4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5\220205Data\Thalia_roz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a\server%20disk\ROZPOCTY\99_06\9906033a_VIN-DIV_VESELI-PRACOVNI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HotelWindSM_KASTT\marek\Dokumenty\Exeldok\Rozp2001\Bouzov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HotelWindSM_KASTT\marek\Program%20Files\Microsoft%20Office\Exeldok\ROZP99\netvor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HotelWindSM_KASTT\marek\Dokumenty\Notebook\Dokumenty\Exeldok\Rozp2002\&#352;koda\roz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WINDOWS\TEMP\253energieMaR_PCR-Praha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WINDOWS\TEMP\&#269;.%2041%20Zelen&#253;%20ostrov%20roz.%20rozpo&#269;tu%20na%20DC%20(bez%20list.%20v&#253;stupu)\Rozpo&#269;et%20stavby%20dle%20DC\sa_SO51_4_vv_0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XTY\Texty03\Nabidky\192Mikos_Vidoule_new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legro-srv\Allegro\Documents%20and%20Settings\Kossi\Dokumenty\pr&#225;ce\zak&#225;zky\konstrukce\Jitka-konstrukc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cuments%20and%20Settings\p14\Local%20Settings\Temp\&#352;t&#283;p&#225;n\cenov&#253;%20dokument%20vzor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EXCEL\Projekt\Saldova\N&#225;vrh%20struktury-z%2008082006-coude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nzipped\Rozpo&#269;et%20-%20OKsystem%202\Se&#353;it3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xty\Texty04\Nabidky\330energieMAR_Prelouc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269;.%2041%20Zelen&#253;%20ostrov%20roz.%20rozpo&#269;tu%20na%20DC%20(bez%20list.%20v&#253;stupu)\Rozpo&#269;et%20stavby%20dle%20DC\sa_SO51_4_vv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ABIDKY\Administrativn&#237;%20budova%20-%20Oksystem\Rozpo&#269;et%20-%20OKsystem%202.kolo%20%20up&#345;esn&#283;n&#23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eauty\Documents%20and%20Settings\VaskoM\Local%20Settings\Temporary%20Internet%20Files\OLK3\276_specialisti\01-06%20-%20PROSEK%20POINT_V&#221;B&#282;R%20dod._v&#253;kaz-v&#253;m&#283;r_elekt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Rozpo&#269;et%20-%20vz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legro-srv\Allegro\MONT&#193;&#381;E\Cn\901-1000\993\pracovn&#237;\VV%20SD_Objekt%20Nov&#233;%20Spilky%20060504%20pracov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šeobecné_podmínky"/>
      <sheetName val="Rekapitulace"/>
      <sheetName val="Položkový rozpočet"/>
      <sheetName val="Legenda odkazů"/>
      <sheetName val="SO-100_GSM"/>
      <sheetName val="PS-510_TRAF"/>
      <sheetName val="SO100_UTCL"/>
      <sheetName val="SO100_VZT"/>
      <sheetName val="SO100_ZTI-P"/>
      <sheetName val="SO100_ZTI-SD"/>
      <sheetName val="SO100_ZTI-V"/>
      <sheetName val="SO100.1_VZT N1"/>
      <sheetName val="SO100.1_ZTI-N1"/>
      <sheetName val="SO100.1_VZT N2"/>
      <sheetName val="SO100.1_ZTI-N2"/>
      <sheetName val="SO100.1_VZT N4"/>
      <sheetName val="SO100.1_ZTI-N4"/>
      <sheetName val="SO100_VZT G"/>
      <sheetName val="SO100_GASTRO"/>
      <sheetName val="IO 165 SAD"/>
      <sheetName val="IO 166 AZS"/>
      <sheetName val="IO 170 KOM"/>
      <sheetName val="SO 100 KOM DZ"/>
      <sheetName val="IO 200"/>
      <sheetName val="IO 205_210_215_220_SO-120 zti"/>
      <sheetName val="IO 300"/>
      <sheetName val="IO 310"/>
      <sheetName val="IO 4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  <sheetName val="položky"/>
      <sheetName val="stavební část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DATA"/>
      <sheetName val="KOTELNA"/>
      <sheetName val="RKOTELNA"/>
      <sheetName val="KOT"/>
      <sheetName val="RKOT "/>
      <sheetName val="RKOT  (2)"/>
      <sheetName val="103"/>
      <sheetName val="R103"/>
      <sheetName val="obj. (2)"/>
      <sheetName val="obj. (3)"/>
      <sheetName val="stavební část"/>
      <sheetName val="ZS, VR"/>
      <sheetName val="Budova"/>
      <sheetName val="Venky"/>
    </sheetNames>
    <sheetDataSet>
      <sheetData sheetId="0" refreshError="1"/>
      <sheetData sheetId="1" refreshError="1">
        <row r="5">
          <cell r="A5" t="str">
            <v>KÓD</v>
          </cell>
          <cell r="B5" t="str">
            <v>TECHNICKÁ SPECIFIKACE</v>
          </cell>
          <cell r="D5" t="str">
            <v>DOD. </v>
          </cell>
          <cell r="E5" t="str">
            <v>MONT.</v>
          </cell>
        </row>
        <row r="6">
          <cell r="B6" t="str">
            <v>popis</v>
          </cell>
          <cell r="C6" t="str">
            <v>dodavatel</v>
          </cell>
          <cell r="D6" t="str">
            <v>jed.cena</v>
          </cell>
          <cell r="E6" t="str">
            <v>jed.cena</v>
          </cell>
        </row>
        <row r="7">
          <cell r="B7" t="str">
            <v>Měřící a regulační obvody</v>
          </cell>
        </row>
        <row r="8">
          <cell r="A8" t="str">
            <v>TG2</v>
          </cell>
          <cell r="B8" t="str">
            <v>Rokytnice</v>
          </cell>
          <cell r="C8" t="str">
            <v>SENSIT
Rožnov p. R.</v>
          </cell>
          <cell r="D8">
            <v>400</v>
          </cell>
          <cell r="E8">
            <v>19</v>
          </cell>
        </row>
        <row r="9">
          <cell r="A9" t="str">
            <v>SQ6bez</v>
          </cell>
          <cell r="B9" t="str">
            <v>Koncový spínač XCK - A118</v>
          </cell>
          <cell r="C9" t="str">
            <v>strojní
dodávka</v>
          </cell>
          <cell r="D9">
            <v>0</v>
          </cell>
          <cell r="E9">
            <v>0</v>
          </cell>
        </row>
        <row r="10">
          <cell r="A10" t="str">
            <v>SQ6</v>
          </cell>
          <cell r="B10" t="str">
            <v>Koncový spínač XCK - A118</v>
          </cell>
          <cell r="C10" t="str">
            <v>strojní
dodávka</v>
          </cell>
          <cell r="D10">
            <v>0</v>
          </cell>
          <cell r="E10">
            <v>70</v>
          </cell>
        </row>
        <row r="11">
          <cell r="A11" t="str">
            <v>M100</v>
          </cell>
          <cell r="B11" t="str">
            <v>Podávací dopravník  </v>
          </cell>
          <cell r="C11" t="str">
            <v>strojní
dodávka</v>
          </cell>
          <cell r="D11">
            <v>0</v>
          </cell>
          <cell r="E11">
            <v>80</v>
          </cell>
        </row>
        <row r="12">
          <cell r="A12" t="str">
            <v>M101</v>
          </cell>
          <cell r="B12" t="str">
            <v>Plnící dopravník  </v>
          </cell>
          <cell r="C12" t="str">
            <v>strojní
dodávka</v>
          </cell>
          <cell r="D12">
            <v>0</v>
          </cell>
          <cell r="E12">
            <v>80</v>
          </cell>
        </row>
        <row r="13">
          <cell r="A13" t="str">
            <v>Zt1</v>
          </cell>
          <cell r="B13" t="str">
            <v>Zapalovací tyč  </v>
          </cell>
          <cell r="C13" t="str">
            <v>strojní
dodávka</v>
          </cell>
          <cell r="D13">
            <v>0</v>
          </cell>
          <cell r="E13">
            <v>0</v>
          </cell>
        </row>
        <row r="14">
          <cell r="A14" t="str">
            <v>M105</v>
          </cell>
          <cell r="B14" t="str">
            <v>Primární ventilátor</v>
          </cell>
          <cell r="C14" t="str">
            <v>strojní
dodávka</v>
          </cell>
          <cell r="D14">
            <v>0</v>
          </cell>
          <cell r="E14">
            <v>80</v>
          </cell>
        </row>
        <row r="15">
          <cell r="A15" t="str">
            <v>M106</v>
          </cell>
          <cell r="B15" t="str">
            <v>Sekundární ventilátor</v>
          </cell>
          <cell r="C15" t="str">
            <v>strojní
dodávka</v>
          </cell>
          <cell r="D15">
            <v>0</v>
          </cell>
          <cell r="E15">
            <v>80</v>
          </cell>
        </row>
        <row r="16">
          <cell r="A16" t="str">
            <v>M110</v>
          </cell>
          <cell r="B16" t="str">
            <v>Spalinový ventilátor</v>
          </cell>
          <cell r="C16" t="str">
            <v>strojní
dodávka</v>
          </cell>
          <cell r="D16">
            <v>0</v>
          </cell>
          <cell r="E16">
            <v>80</v>
          </cell>
        </row>
        <row r="17">
          <cell r="A17" t="str">
            <v>B110</v>
          </cell>
          <cell r="B17" t="str">
            <v>Pákový pohon BELIMO</v>
          </cell>
          <cell r="C17" t="str">
            <v>strojní
dodávka</v>
          </cell>
          <cell r="D17">
            <v>0</v>
          </cell>
          <cell r="E17">
            <v>60</v>
          </cell>
        </row>
        <row r="18">
          <cell r="A18" t="str">
            <v>M102</v>
          </cell>
          <cell r="B18" t="str">
            <v>Rošt kotle </v>
          </cell>
          <cell r="C18" t="str">
            <v>strojní
dodávka</v>
          </cell>
          <cell r="D18">
            <v>0</v>
          </cell>
          <cell r="E18">
            <v>0</v>
          </cell>
        </row>
        <row r="19">
          <cell r="A19" t="str">
            <v>M109</v>
          </cell>
          <cell r="B19" t="str">
            <v>Popelový dopravník</v>
          </cell>
          <cell r="C19" t="str">
            <v>strojní
dodávka</v>
          </cell>
          <cell r="D19">
            <v>0</v>
          </cell>
          <cell r="E19">
            <v>80</v>
          </cell>
        </row>
        <row r="20">
          <cell r="A20" t="str">
            <v>M104</v>
          </cell>
          <cell r="B20" t="str">
            <v>Popelový vynašeč</v>
          </cell>
          <cell r="C20" t="str">
            <v>strojní
dodávka</v>
          </cell>
          <cell r="D20">
            <v>0</v>
          </cell>
          <cell r="E20">
            <v>0</v>
          </cell>
        </row>
        <row r="21">
          <cell r="A21" t="str">
            <v>M103</v>
          </cell>
          <cell r="B21" t="str">
            <v>Drtič popele</v>
          </cell>
          <cell r="C21" t="str">
            <v>strojní
dodávka</v>
          </cell>
          <cell r="D21">
            <v>0</v>
          </cell>
          <cell r="E21">
            <v>0</v>
          </cell>
        </row>
        <row r="22">
          <cell r="A22" t="str">
            <v>BP100</v>
          </cell>
          <cell r="B22" t="str">
            <v>Podtlakový snímač HUBA Controls
výstup 4 - 20 mA </v>
          </cell>
          <cell r="C22" t="str">
            <v>strojní
dodávka</v>
          </cell>
          <cell r="D22">
            <v>0</v>
          </cell>
          <cell r="E22">
            <v>0</v>
          </cell>
        </row>
        <row r="23">
          <cell r="A23" t="str">
            <v>BQ102</v>
          </cell>
          <cell r="B23" t="str">
            <v>Lambda sonda</v>
          </cell>
          <cell r="C23" t="str">
            <v>strojní
dodávka</v>
          </cell>
          <cell r="D23">
            <v>0</v>
          </cell>
          <cell r="E23">
            <v>0</v>
          </cell>
        </row>
        <row r="24">
          <cell r="A24" t="str">
            <v>termostat</v>
          </cell>
          <cell r="B24" t="str">
            <v>Termostat </v>
          </cell>
          <cell r="C24" t="str">
            <v>strojní
dodávka</v>
          </cell>
          <cell r="D24">
            <v>0</v>
          </cell>
          <cell r="E24">
            <v>0</v>
          </cell>
        </row>
        <row r="25">
          <cell r="A25" t="str">
            <v>SQ116</v>
          </cell>
          <cell r="B25" t="str">
            <v>Infrazávora</v>
          </cell>
          <cell r="C25" t="str">
            <v>strojní
dodávka</v>
          </cell>
          <cell r="D25">
            <v>0</v>
          </cell>
          <cell r="E25">
            <v>0</v>
          </cell>
        </row>
        <row r="26">
          <cell r="A26" t="str">
            <v>SQ2</v>
          </cell>
          <cell r="B26" t="str">
            <v>Indukční snímač XSU P12 PA370</v>
          </cell>
          <cell r="C26" t="str">
            <v>strojní
dodávka</v>
          </cell>
          <cell r="D26">
            <v>0</v>
          </cell>
          <cell r="E26">
            <v>70</v>
          </cell>
        </row>
        <row r="27">
          <cell r="A27" t="str">
            <v>M2</v>
          </cell>
          <cell r="B27" t="str">
            <v>Motor hydrauliky skladu štěpky</v>
          </cell>
          <cell r="C27" t="str">
            <v>strojní
dodávka</v>
          </cell>
          <cell r="D27">
            <v>0</v>
          </cell>
          <cell r="E27">
            <v>80</v>
          </cell>
        </row>
        <row r="28">
          <cell r="A28" t="str">
            <v>M4</v>
          </cell>
          <cell r="B28" t="str">
            <v>Vynášecí dopravník štěpky ze skladu paliva</v>
          </cell>
          <cell r="C28" t="str">
            <v>strojní
dodávka</v>
          </cell>
          <cell r="D28">
            <v>0</v>
          </cell>
          <cell r="E28">
            <v>80</v>
          </cell>
        </row>
        <row r="29">
          <cell r="A29" t="str">
            <v>M5</v>
          </cell>
          <cell r="B29" t="str">
            <v>Pásový dopravník štěpky ze skladu paliva</v>
          </cell>
          <cell r="C29" t="str">
            <v>strojní
dodávka</v>
          </cell>
          <cell r="D29">
            <v>0</v>
          </cell>
          <cell r="E29">
            <v>80</v>
          </cell>
        </row>
        <row r="30">
          <cell r="A30" t="str">
            <v>M6</v>
          </cell>
          <cell r="B30" t="str">
            <v>Motor hydrauliky mezizásobníku štěpky </v>
          </cell>
          <cell r="C30" t="str">
            <v>Groupe-Schneider</v>
          </cell>
          <cell r="D30">
            <v>0</v>
          </cell>
          <cell r="E30">
            <v>80</v>
          </cell>
        </row>
        <row r="31">
          <cell r="A31" t="str">
            <v>SA00</v>
          </cell>
          <cell r="B31" t="str">
            <v>Tlačítko T6 ve skříňce</v>
          </cell>
          <cell r="C31" t="str">
            <v>Groupe-Schneider</v>
          </cell>
          <cell r="D31">
            <v>350</v>
          </cell>
          <cell r="E31">
            <v>60</v>
          </cell>
        </row>
        <row r="32">
          <cell r="A32" t="str">
            <v>ATVFM3F3</v>
          </cell>
          <cell r="B32" t="str">
            <v>Frekvenční měnič Antivar 18, Telemecanique
typ ATV-18U54N4  CZ</v>
          </cell>
          <cell r="C32" t="str">
            <v>Groupe-Schneider</v>
          </cell>
          <cell r="D32">
            <v>21000</v>
          </cell>
          <cell r="E32">
            <v>600</v>
          </cell>
        </row>
        <row r="33">
          <cell r="A33" t="str">
            <v>ATVFM3F7,5</v>
          </cell>
          <cell r="B33" t="str">
            <v>Frekvenční měnič Antivar 18, Telemecanique
typ ATV-18D12N4  CZ</v>
          </cell>
          <cell r="C33" t="str">
            <v>Groupe-Schneider</v>
          </cell>
          <cell r="D33">
            <v>40600</v>
          </cell>
          <cell r="E33">
            <v>600</v>
          </cell>
        </row>
        <row r="34">
          <cell r="A34" t="str">
            <v>ESBE83P</v>
          </cell>
          <cell r="B34" t="str">
            <v>El. pohon ESBE 83P, 24 V, 50 Hz
řídící signál 0-10 V
</v>
          </cell>
          <cell r="C34" t="str">
            <v>REMAG trade</v>
          </cell>
          <cell r="D34">
            <v>5600</v>
          </cell>
          <cell r="E34">
            <v>60</v>
          </cell>
        </row>
        <row r="35">
          <cell r="A35" t="str">
            <v>1-BT1</v>
          </cell>
          <cell r="B35" t="str">
            <v>Odporový snímač teploty venkovní
NS 111.65
rozsah -30°C až 100°C
obj. č. 01 200 200</v>
          </cell>
          <cell r="C35" t="str">
            <v>SENSIT
Rožnov p. R.</v>
          </cell>
          <cell r="D35">
            <v>714</v>
          </cell>
          <cell r="E35">
            <v>19</v>
          </cell>
        </row>
        <row r="36">
          <cell r="A36" t="str">
            <v>M200</v>
          </cell>
          <cell r="B36" t="str">
            <v>Oběhové čerpadlo do systému ÚT
3 x 380/220 VAC</v>
          </cell>
          <cell r="C36" t="str">
            <v>strojní
dodávka</v>
          </cell>
          <cell r="D36">
            <v>0</v>
          </cell>
          <cell r="E36">
            <v>120</v>
          </cell>
        </row>
        <row r="37">
          <cell r="A37" t="str">
            <v>M115</v>
          </cell>
          <cell r="B37" t="str">
            <v>Oběhové čerpadlo kotlového okruhu
3 x 380/220 VAC</v>
          </cell>
          <cell r="C37" t="str">
            <v>strojní
dodávka</v>
          </cell>
          <cell r="D37">
            <v>0</v>
          </cell>
          <cell r="E37">
            <v>80</v>
          </cell>
        </row>
        <row r="38">
          <cell r="A38" t="str">
            <v>M55</v>
          </cell>
          <cell r="B38" t="str">
            <v>Doplňovací čerpadlo
3 x 380/220 VAC</v>
          </cell>
          <cell r="C38" t="str">
            <v>strojní
dodávka</v>
          </cell>
          <cell r="D38">
            <v>0</v>
          </cell>
          <cell r="E38">
            <v>80</v>
          </cell>
        </row>
        <row r="39">
          <cell r="A39" t="str">
            <v>PPN2.35</v>
          </cell>
          <cell r="B39" t="str">
            <v>Pákový servopohon PPN2 35.04.09
220V/50Hz, mikrospínače SO, SZ
bez výst. signálu, třmen se spojkou</v>
          </cell>
          <cell r="C39" t="str">
            <v>Ekorex+
Nová Paka</v>
          </cell>
          <cell r="D39">
            <v>4200</v>
          </cell>
          <cell r="E39">
            <v>120</v>
          </cell>
        </row>
        <row r="40">
          <cell r="A40" t="str">
            <v>1-M1</v>
          </cell>
          <cell r="B40" t="str">
            <v>Směšovací ventil 3G40, DN40, PN 6
s el. pohonem ESBE 62P, řízený 0-10V</v>
          </cell>
          <cell r="C40" t="str">
            <v>Eko-Ekviterm </v>
          </cell>
          <cell r="D40">
            <v>5070</v>
          </cell>
          <cell r="E40">
            <v>50</v>
          </cell>
        </row>
        <row r="41">
          <cell r="A41" t="str">
            <v>1-M1</v>
          </cell>
          <cell r="B41" t="str">
            <v>Směšovací ventil 3G50, DN50, PN 6
s el. pohonem ESBE 62P, řízený 0-10V</v>
          </cell>
          <cell r="C41" t="str">
            <v>Eko-Ekviterm </v>
          </cell>
          <cell r="D41">
            <v>5840</v>
          </cell>
          <cell r="E41">
            <v>50</v>
          </cell>
        </row>
        <row r="42">
          <cell r="A42" t="str">
            <v>6-M1</v>
          </cell>
          <cell r="B42" t="str">
            <v>Oběhové čerpadlo top .vody
3 x 380/220 V</v>
          </cell>
          <cell r="D42">
            <v>0</v>
          </cell>
          <cell r="E42">
            <v>60</v>
          </cell>
        </row>
        <row r="43">
          <cell r="A43" t="str">
            <v>2-BT1.1
2-BT1.2</v>
          </cell>
          <cell r="B43" t="str">
            <v>Odporový snímač teploty do potrubí
NS 131.65 - 220
rozsah -30°C až 250°C
obj. č. 01 630 200</v>
          </cell>
          <cell r="C43" t="str">
            <v>SENSIT
Rožnov p. R.</v>
          </cell>
          <cell r="D43">
            <v>978</v>
          </cell>
          <cell r="E43">
            <v>19</v>
          </cell>
        </row>
        <row r="44">
          <cell r="A44" t="str">
            <v>2-BT1</v>
          </cell>
          <cell r="B44" t="str">
            <v>Příložné odporové čidlo
NS 141.65
rozsah 0°C až 130°C
obj. Č. 01 700 200</v>
          </cell>
          <cell r="C44" t="str">
            <v>SENSIT
Rožnov p. R.</v>
          </cell>
          <cell r="D44">
            <v>750</v>
          </cell>
          <cell r="E44">
            <v>19</v>
          </cell>
        </row>
        <row r="45">
          <cell r="A45" t="str">
            <v>TG2</v>
          </cell>
          <cell r="B45" t="str">
            <v>Snímač teploty TG2, Ni 1000,L 50mm, M10x1,5
kabel 3 m</v>
          </cell>
          <cell r="C45" t="str">
            <v>SENSIT
Rožnov p. R.</v>
          </cell>
          <cell r="D45">
            <v>620</v>
          </cell>
          <cell r="E45">
            <v>19</v>
          </cell>
        </row>
        <row r="46">
          <cell r="A46" t="str">
            <v>11262J2</v>
          </cell>
          <cell r="B46" t="str">
            <v>405 112 625 712
Odporový snímač teploty s jímkou
jednoduchý ve dvouvodičovém zapojení - J2
provedení T 13
materiál jímky 12 022
ponor 160 mm</v>
          </cell>
          <cell r="C46" t="str">
            <v>ZPA
Nová Paka</v>
          </cell>
          <cell r="D46">
            <v>1370</v>
          </cell>
          <cell r="E46">
            <v>19</v>
          </cell>
        </row>
        <row r="47">
          <cell r="A47" t="str">
            <v>11255</v>
          </cell>
          <cell r="B47" t="str">
            <v>405 112 555 712
Odporový snímač teploty s ochrannou trubkou
jednoduchý
ponor 500 mm</v>
          </cell>
          <cell r="C47" t="str">
            <v>ZPA
Nová Paka</v>
          </cell>
          <cell r="D47">
            <v>1010</v>
          </cell>
          <cell r="E47">
            <v>19</v>
          </cell>
        </row>
        <row r="48">
          <cell r="A48" t="str">
            <v>11255up</v>
          </cell>
          <cell r="B48" t="str">
            <v>405 919 400 215
Upevňovací příruba</v>
          </cell>
          <cell r="C48" t="str">
            <v>ZPA
Nová Paka</v>
          </cell>
          <cell r="D48">
            <v>210</v>
          </cell>
          <cell r="E48">
            <v>15</v>
          </cell>
        </row>
        <row r="49">
          <cell r="A49" t="str">
            <v>prPt100h</v>
          </cell>
          <cell r="B49" t="str">
            <v>Převodník pro Pt 100 do hlavice
rozsah 0 až 400 stC
vstup Pt 100
výstup 4-20 mA</v>
          </cell>
          <cell r="C49" t="str">
            <v>Ekorex Lázně
Bohdaneč</v>
          </cell>
          <cell r="D49">
            <v>1500</v>
          </cell>
          <cell r="E49">
            <v>25</v>
          </cell>
        </row>
        <row r="50">
          <cell r="A50" t="str">
            <v>RV103,DN15,PTN2,2V</v>
          </cell>
          <cell r="B50" t="str">
            <v>RV 103 ERB 4311-16/150-15, Kv 4</v>
          </cell>
          <cell r="C50" t="str">
            <v>LDM 
Č. Třebová</v>
          </cell>
          <cell r="D50">
            <v>7640</v>
          </cell>
          <cell r="E50">
            <v>80</v>
          </cell>
        </row>
        <row r="51">
          <cell r="A51" t="str">
            <v>RV103,DN25,PTN2,2V</v>
          </cell>
          <cell r="B51" t="str">
            <v>RV 103 ERB 4311-16/150-25, Kv 10</v>
          </cell>
          <cell r="C51" t="str">
            <v>LDM 
Č. Třebová</v>
          </cell>
          <cell r="D51">
            <v>7940</v>
          </cell>
          <cell r="E51">
            <v>80</v>
          </cell>
        </row>
        <row r="52">
          <cell r="A52" t="str">
            <v>RV103,DN32,PTN2,2V</v>
          </cell>
          <cell r="B52" t="str">
            <v>RV 103 ERB 4311-16/150-32, Kv 16</v>
          </cell>
          <cell r="C52" t="str">
            <v>LDM 
Č. Třebová</v>
          </cell>
          <cell r="D52">
            <v>8330</v>
          </cell>
          <cell r="E52">
            <v>80</v>
          </cell>
        </row>
        <row r="53">
          <cell r="A53" t="str">
            <v>RV103,DN50,PTN2,2V</v>
          </cell>
          <cell r="B53" t="str">
            <v>RV 103 ERB 4311-16/150-50, Kv 40</v>
          </cell>
          <cell r="C53" t="str">
            <v>LDM 
Č. Třebová</v>
          </cell>
          <cell r="D53">
            <v>10020</v>
          </cell>
          <cell r="E53">
            <v>80</v>
          </cell>
        </row>
        <row r="54">
          <cell r="A54" t="str">
            <v>RV102,DN15,PTN2,2V</v>
          </cell>
          <cell r="B54" t="str">
            <v>RV 102 ERB 1311-16/150-15, Kv 4</v>
          </cell>
          <cell r="C54" t="str">
            <v>LDM 
Č. Třebová</v>
          </cell>
          <cell r="D54">
            <v>6960</v>
          </cell>
          <cell r="E54">
            <v>80</v>
          </cell>
        </row>
        <row r="55">
          <cell r="A55" t="str">
            <v>RV102,DN32,PTN2,2V</v>
          </cell>
          <cell r="B55" t="str">
            <v>RV 102 ERB 1311-16/150-32, Kv 16</v>
          </cell>
          <cell r="C55" t="str">
            <v>LDM 
Č. Třebová</v>
          </cell>
          <cell r="D55">
            <v>7510</v>
          </cell>
          <cell r="E55">
            <v>80</v>
          </cell>
        </row>
        <row r="56">
          <cell r="A56" t="str">
            <v>RV102,DN32,END,2V</v>
          </cell>
          <cell r="B56" t="str">
            <v>RV 102 END 1511 16/150-15, Kv 4</v>
          </cell>
          <cell r="C56" t="str">
            <v>LDM 
Č. Třebová</v>
          </cell>
          <cell r="D56">
            <v>2950</v>
          </cell>
          <cell r="E56">
            <v>80</v>
          </cell>
        </row>
        <row r="57">
          <cell r="A57" t="str">
            <v>RV102,DN32,END,2V
PP</v>
          </cell>
          <cell r="B57" t="str">
            <v>Regulační ventil RV 102, DN 15, PN 16
RV 102 END 1511-16/150-15
s el. pohonem PICO 524 65, 220 V/50 Hz
provedení závitové dvoucestné přímé
materiál tělesa mosaz
průtočná charakteristika lineární, Kvs = 4 m3/h</v>
          </cell>
          <cell r="C57" t="str">
            <v>LDM 
Č. Třebová</v>
          </cell>
          <cell r="D57">
            <v>2950</v>
          </cell>
          <cell r="E57">
            <v>80</v>
          </cell>
        </row>
        <row r="58">
          <cell r="A58" t="str">
            <v>RV201,DN80,ENC</v>
          </cell>
          <cell r="B58" t="str">
            <v>Regulační ventil RV 210 E, DN 80, PN 16
RV 210 ENC 1413 L1 - 16/220 - 80
s el. pohonem Zepadyn
se signalizačními spínači SO, SZ
bez odporového vysílače
příruba s hrubou těsnící lištou
materiál tělesa tvárná litina
těsnění v sedle kov - kov
ucpávka PTFE
pr</v>
          </cell>
          <cell r="C58" t="str">
            <v>LDM 
Č. Třebová</v>
          </cell>
          <cell r="D58">
            <v>15000</v>
          </cell>
          <cell r="E58">
            <v>80</v>
          </cell>
        </row>
        <row r="59">
          <cell r="A59" t="str">
            <v>2</v>
          </cell>
          <cell r="B59" t="str">
            <v>vývodka GP 9</v>
          </cell>
          <cell r="C59" t="str">
            <v>Elektram</v>
          </cell>
          <cell r="D59">
            <v>5</v>
          </cell>
        </row>
        <row r="60">
          <cell r="A60" t="str">
            <v>klvp</v>
          </cell>
          <cell r="B60" t="str">
            <v>Pohon klapky reg. výkonu kotle</v>
          </cell>
          <cell r="C60" t="str">
            <v>stávající</v>
          </cell>
          <cell r="D60">
            <v>5.3</v>
          </cell>
          <cell r="E60">
            <v>80</v>
          </cell>
        </row>
        <row r="61">
          <cell r="A61" t="str">
            <v>MKVLT</v>
          </cell>
          <cell r="B61" t="str">
            <v>Měnič kmitočtu VLT 3522
demontáž a montáž vč. nastavení</v>
          </cell>
          <cell r="C61" t="str">
            <v>stávající</v>
          </cell>
          <cell r="D61">
            <v>5.6</v>
          </cell>
          <cell r="E61">
            <v>1100</v>
          </cell>
        </row>
        <row r="62">
          <cell r="A62" t="str">
            <v>5</v>
          </cell>
          <cell r="B62" t="str">
            <v>Indikační svítidlo HDS-95 G/R</v>
          </cell>
          <cell r="C62" t="str">
            <v>Eleco</v>
          </cell>
          <cell r="D62">
            <v>119</v>
          </cell>
        </row>
        <row r="63">
          <cell r="A63" t="str">
            <v>6</v>
          </cell>
          <cell r="B63" t="str">
            <v>Stiskací hlavice černá T10A</v>
          </cell>
          <cell r="C63" t="str">
            <v>Groupe-Schneider</v>
          </cell>
          <cell r="D63">
            <v>54</v>
          </cell>
        </row>
        <row r="64">
          <cell r="A64" t="str">
            <v>7</v>
          </cell>
          <cell r="B64" t="str">
            <v>Ovládací hlavice trojpolohová T10 B ČE</v>
          </cell>
          <cell r="C64" t="str">
            <v>Groupe-Schneider</v>
          </cell>
          <cell r="D64">
            <v>69</v>
          </cell>
        </row>
        <row r="65">
          <cell r="A65" t="str">
            <v>kl,DN150,PPN12</v>
          </cell>
          <cell r="B65" t="str">
            <v>Klapka DN 150, PN 16
se servopohonem PPN 12
s mikrospínači SO, SZ
médium : top. voda 105 stC/0,9 MPa
              max. tlak. dif. 0,8 MPa</v>
          </cell>
          <cell r="C65" t="str">
            <v>MaR Plus</v>
          </cell>
          <cell r="D65">
            <v>12500</v>
          </cell>
          <cell r="E65">
            <v>140</v>
          </cell>
        </row>
        <row r="66">
          <cell r="A66" t="str">
            <v>9</v>
          </cell>
          <cell r="B66" t="str">
            <v>Přepínací jednotka T10 Z 111 Z</v>
          </cell>
          <cell r="C66" t="str">
            <v>Groupe-Schneider</v>
          </cell>
          <cell r="D66">
            <v>51</v>
          </cell>
        </row>
        <row r="67">
          <cell r="A67" t="str">
            <v>RTK </v>
          </cell>
          <cell r="B67" t="str">
            <v>405 611 266 052
Regulátor teploty kapilárový
provedení T23
kontakty v provedení "A"
rozsah 70 až 140 stC
kapilára 2,5 m
405 961 014 116
Mosazná ochranná jímka</v>
          </cell>
          <cell r="C67" t="str">
            <v>ZPA Ekoreg
Ústí n/L</v>
          </cell>
          <cell r="D67">
            <v>1250</v>
          </cell>
          <cell r="E67">
            <v>70</v>
          </cell>
        </row>
        <row r="68">
          <cell r="A68" t="str">
            <v>RTK3090 </v>
          </cell>
          <cell r="B68" t="str">
            <v>405 611 266 042
Regulátor teploty kapilárový
provedení T23
kontakty v provedení "A"
rozsah 30 až 90 stC
kapilára 2,5 m
405 961 014 116
Mosazná ochranná jímka</v>
          </cell>
          <cell r="C68" t="str">
            <v>ZPA Ekoreg
Ústí n/L</v>
          </cell>
          <cell r="D68">
            <v>1250</v>
          </cell>
          <cell r="E68">
            <v>70</v>
          </cell>
        </row>
        <row r="69">
          <cell r="A69" t="str">
            <v>RTKB</v>
          </cell>
          <cell r="B69" t="str">
            <v>405 611 266 152
Regulátor teploty kapilárový
provedení T23
kontakty v provedení "B"
rozsah 70 až 140 stC
kapilára 2,5 m
405 961 014 116
Mosazná ochranná jímka</v>
          </cell>
          <cell r="C69" t="str">
            <v>ZPA Ekoreg
Ústí n/L</v>
          </cell>
          <cell r="D69">
            <v>1250</v>
          </cell>
          <cell r="E69">
            <v>70</v>
          </cell>
        </row>
        <row r="70">
          <cell r="A70" t="str">
            <v>RTP</v>
          </cell>
          <cell r="B70" t="str">
            <v>405 611 136 114
Regulátor teploty prostorový
provedení T23
kontakty v provedení "B"
rozsah 20 až 60 stC</v>
          </cell>
          <cell r="C70" t="str">
            <v>ZPA Ekoreg
Ústí n/L</v>
          </cell>
          <cell r="D70">
            <v>1150</v>
          </cell>
          <cell r="E70">
            <v>70</v>
          </cell>
        </row>
        <row r="71">
          <cell r="A71" t="str">
            <v>RTL</v>
          </cell>
          <cell r="B71" t="str">
            <v>405 612 146 043
Regulátor tlaku vlnovcový
provedení T 23
kontakty v provedení "A"
rozsah 0,16 až 1,6 MPa</v>
          </cell>
          <cell r="C71" t="str">
            <v>ZPA Ekoreg
Ústí n/L</v>
          </cell>
          <cell r="D71">
            <v>1010</v>
          </cell>
          <cell r="E71">
            <v>70</v>
          </cell>
        </row>
        <row r="72">
          <cell r="A72" t="str">
            <v>RTL400</v>
          </cell>
          <cell r="B72" t="str">
            <v>405 612 146 032
Regulátor tlaku vlnovcový
provedení T 23
kontakty v provedení "A"
rozsah 40 až 400 kPa</v>
          </cell>
          <cell r="C72" t="str">
            <v>ZPA Ekoreg
Ústí n/L</v>
          </cell>
          <cell r="D72">
            <v>1010</v>
          </cell>
          <cell r="E72">
            <v>70</v>
          </cell>
        </row>
        <row r="73">
          <cell r="A73" t="str">
            <v>RTLB</v>
          </cell>
          <cell r="B73" t="str">
            <v>405 612 146 143
Regulátor tlaku vlnovcový
provedení T 23
kontakty v provedení "B"
rozsah 0,16 až 1,6 MPa</v>
          </cell>
          <cell r="C73" t="str">
            <v>ZPA Ekoreg
Ústí n/L</v>
          </cell>
          <cell r="D73">
            <v>1010</v>
          </cell>
          <cell r="E73">
            <v>70</v>
          </cell>
        </row>
        <row r="74">
          <cell r="A74" t="str">
            <v>indif51</v>
          </cell>
          <cell r="B74" t="str">
            <v>Snímač tlakové diference INDIF 51</v>
          </cell>
          <cell r="C74" t="str">
            <v>ZPA
Nová Paka</v>
          </cell>
          <cell r="D74">
            <v>398</v>
          </cell>
          <cell r="E74">
            <v>150</v>
          </cell>
        </row>
        <row r="75">
          <cell r="A75" t="str">
            <v>PVS</v>
          </cell>
          <cell r="B75" t="str">
            <v>Pěticestná ventilová souprava</v>
          </cell>
          <cell r="C75" t="str">
            <v>ZPA
Nová Paka</v>
          </cell>
          <cell r="D75">
            <v>150</v>
          </cell>
          <cell r="E75">
            <v>80</v>
          </cell>
        </row>
        <row r="76">
          <cell r="A76" t="str">
            <v>19</v>
          </cell>
          <cell r="B76" t="str">
            <v>Stykač 3.f. 24VAC/LC1/LLC2-K06</v>
          </cell>
          <cell r="C76" t="str">
            <v>Groupe-Schneider</v>
          </cell>
          <cell r="D76">
            <v>210</v>
          </cell>
        </row>
        <row r="77">
          <cell r="A77" t="str">
            <v>20</v>
          </cell>
          <cell r="B77" t="str">
            <v>Relé 2.párové RT II/2 464 524 Schrack</v>
          </cell>
          <cell r="C77" t="str">
            <v>Schrack</v>
          </cell>
          <cell r="D77">
            <v>145</v>
          </cell>
        </row>
        <row r="78">
          <cell r="A78" t="str">
            <v>NS111</v>
          </cell>
          <cell r="B78" t="str">
            <v>Odporový snímač teploty venkovní
typ NS 111.65
rozsah -30°C až 100°C
obj. č. 01 200 200</v>
          </cell>
          <cell r="C78" t="str">
            <v>SENSIT
Rožnov p. R.</v>
          </cell>
          <cell r="D78">
            <v>714</v>
          </cell>
          <cell r="E78">
            <v>19</v>
          </cell>
        </row>
        <row r="79">
          <cell r="A79" t="str">
            <v>NS131-100</v>
          </cell>
          <cell r="B79" t="str">
            <v>Odporový snímač teploty do potrubí
typ NS 131.65 - 100
rozsah -30°C až 250°C
obj. č. 01 610 200</v>
          </cell>
          <cell r="C79" t="str">
            <v>SENSIT
Rožnov p. R.</v>
          </cell>
          <cell r="D79">
            <v>930</v>
          </cell>
          <cell r="E79">
            <v>19</v>
          </cell>
        </row>
        <row r="80">
          <cell r="A80" t="str">
            <v>NS131-160</v>
          </cell>
          <cell r="B80" t="str">
            <v>Odporový snímač teploty do potrubí
typ NS 131.65 - 160
rozsah -30°C až 250°C
obj. č. 01 620 200</v>
          </cell>
          <cell r="C80" t="str">
            <v>SENSIT
Rožnov p. R.</v>
          </cell>
          <cell r="D80">
            <v>954</v>
          </cell>
          <cell r="E80">
            <v>19</v>
          </cell>
        </row>
        <row r="81">
          <cell r="A81" t="str">
            <v>NS131</v>
          </cell>
          <cell r="B81" t="str">
            <v>Snímač teploty do potrubí NS 131.65 - 220
</v>
          </cell>
          <cell r="C81" t="str">
            <v>SENSIT
Rožnov p. R.</v>
          </cell>
          <cell r="D81">
            <v>978</v>
          </cell>
          <cell r="E81">
            <v>19</v>
          </cell>
        </row>
        <row r="82">
          <cell r="A82" t="str">
            <v>NS131-220</v>
          </cell>
          <cell r="B82" t="str">
            <v>Odporový snímač teploty do potrubí
typ NS 131.65 - 220
rozsah -30°C až 250°C
obj. č. 01 630 200</v>
          </cell>
          <cell r="C82" t="str">
            <v>SENSIT
Rožnov p. R.</v>
          </cell>
          <cell r="D82">
            <v>978</v>
          </cell>
          <cell r="E82">
            <v>19</v>
          </cell>
        </row>
        <row r="83">
          <cell r="A83" t="str">
            <v>NS131-220,pr</v>
          </cell>
          <cell r="B83" t="str">
            <v>Odporový snímač teploty do potrubí
typ NS 131.65 - 220
prodloužený stonek
rozsah -30°C až 250°C
obj. č. 01 730 200</v>
          </cell>
          <cell r="C83" t="str">
            <v>SENSIT
Rožnov p. R.</v>
          </cell>
          <cell r="D83">
            <v>1550</v>
          </cell>
          <cell r="E83">
            <v>19</v>
          </cell>
        </row>
        <row r="84">
          <cell r="A84" t="str">
            <v>NS141</v>
          </cell>
          <cell r="B84" t="str">
            <v>Odporový snímač teploty příložný s hlavicí
typ NS 141.65
rozsah 0°C až 130°C
obj. č. 01 700 200</v>
          </cell>
          <cell r="C84" t="str">
            <v>SENSIT
Rožnov p. R.</v>
          </cell>
          <cell r="D84">
            <v>750</v>
          </cell>
          <cell r="E84">
            <v>19</v>
          </cell>
        </row>
        <row r="85">
          <cell r="A85" t="str">
            <v>NS151</v>
          </cell>
          <cell r="B85" t="str">
            <v>Příložný snímač teploty NS 151.65 
</v>
          </cell>
          <cell r="C85" t="str">
            <v>SENSIT
Rožnov p. R.</v>
          </cell>
          <cell r="D85">
            <v>593</v>
          </cell>
          <cell r="E85">
            <v>19</v>
          </cell>
        </row>
        <row r="86">
          <cell r="A86" t="str">
            <v>VZH431/S</v>
          </cell>
          <cell r="B86" t="str">
            <v>405 613 466 002
Vyhodnocovací zařízení kontinuální VZH 431/S
výstup 4…20 mA</v>
          </cell>
          <cell r="C86" t="str">
            <v>ZPA Ekoreg
Ústí n/L</v>
          </cell>
          <cell r="D86">
            <v>2090</v>
          </cell>
          <cell r="E86">
            <v>120</v>
          </cell>
        </row>
        <row r="87">
          <cell r="A87" t="str">
            <v>VZH231/2M</v>
          </cell>
          <cell r="B87" t="str">
            <v>40 11124 901040
Vyhodnocovací zařízení kontinuální VZH 231/2M
1. mez minimum, 2. mez maximum
výstup 4…20 mA</v>
          </cell>
          <cell r="C87" t="str">
            <v>ZPA Ekoreg
Ústí n/L</v>
          </cell>
          <cell r="D87">
            <v>4100</v>
          </cell>
          <cell r="E87">
            <v>150</v>
          </cell>
        </row>
        <row r="88">
          <cell r="A88" t="str">
            <v>MS11Ff10N </v>
          </cell>
          <cell r="B88" t="str">
            <v>405 613 176 008/N
Měřící sonda tyčová izolovaná polyetylenem PE
typ MS 11 Ff 1015/N
materiál šroubení hliníková slitina
snímač v hlavici
délka elektrody 1,5 m
upevňovací závit M 36x2
materiál šroubení hliníková slitina</v>
          </cell>
          <cell r="C88" t="str">
            <v>ZPA Ekoreg
Ústí n/L</v>
          </cell>
          <cell r="D88">
            <v>2960</v>
          </cell>
          <cell r="E88">
            <v>90</v>
          </cell>
        </row>
        <row r="89">
          <cell r="A89" t="str">
            <v>MS11Ff10 </v>
          </cell>
          <cell r="B89" t="str">
            <v>405 613 106 712/NS 
Měřící sonda tyčová izolovaná polyetylenem PE
typ MS 11 Ff 1015/NS
materiál šroubení hliníková slitina
snímač v hlavici
délka elektrody 1,5 m
upevňovací závit M 36x2
materiál šroubení hliníková slitina</v>
          </cell>
          <cell r="C89" t="str">
            <v>ZPA Ekoreg
Ústí n/L</v>
          </cell>
          <cell r="D89">
            <v>3320</v>
          </cell>
          <cell r="E89">
            <v>90</v>
          </cell>
        </row>
        <row r="90">
          <cell r="A90" t="str">
            <v>PRKOMAL</v>
          </cell>
          <cell r="B90" t="str">
            <v>405 961 154 816
Montážní příruba kompletní
hliníková slitina</v>
          </cell>
          <cell r="C90" t="str">
            <v>ZPA Ekoreg
Ústí n/L</v>
          </cell>
          <cell r="D90">
            <v>380</v>
          </cell>
        </row>
        <row r="91">
          <cell r="A91" t="str">
            <v>PRSP</v>
          </cell>
          <cell r="B91" t="str">
            <v>405 961 006 216
Montážní příruba speciální</v>
          </cell>
          <cell r="C91" t="str">
            <v>ZPA Ekoreg
Ústí n/L</v>
          </cell>
          <cell r="D91">
            <v>250</v>
          </cell>
        </row>
        <row r="92">
          <cell r="A92" t="str">
            <v>KK,PPN2</v>
          </cell>
          <cell r="B92" t="str">
            <v>Kulový kohout Giacomini DN 25, PN 25
R 850/3/PPN/25/185 - 25
s el. pohonem PPN2 35.02.09/230VAC
bez mikrospínačů SO, SZ
bez vysílače polohy</v>
          </cell>
          <cell r="C92" t="str">
            <v>LDM 
Č. Třebová</v>
          </cell>
          <cell r="D92">
            <v>4220</v>
          </cell>
          <cell r="E92">
            <v>80</v>
          </cell>
        </row>
        <row r="93">
          <cell r="A93" t="str">
            <v>2-M1.1
2-M1.2
</v>
          </cell>
          <cell r="B93" t="str">
            <v>Kulový kohout Giacomini DN 32, PN 25
s el. pohonem PPN2 35.04.07.20/230VAC
se sig. SO,SZ, bez vysílače</v>
          </cell>
          <cell r="C93" t="str">
            <v>Ekorex
Nová Paka</v>
          </cell>
          <cell r="D93">
            <v>4070</v>
          </cell>
          <cell r="E93">
            <v>50</v>
          </cell>
        </row>
        <row r="94">
          <cell r="B94" t="str">
            <v>Řídící systém</v>
          </cell>
        </row>
        <row r="95">
          <cell r="A95" t="str">
            <v>1</v>
          </cell>
          <cell r="B95" t="str">
            <v>Regulátor DX 9100 - 8154</v>
          </cell>
          <cell r="C95" t="str">
            <v>Johnson 
Controls</v>
          </cell>
          <cell r="D95">
            <v>35549</v>
          </cell>
        </row>
        <row r="96">
          <cell r="D96" t="str">
            <v>celkem</v>
          </cell>
        </row>
        <row r="97">
          <cell r="A97" t="str">
            <v>3G32</v>
          </cell>
          <cell r="B97" t="str">
            <v>Směšovací klapka 3G32</v>
          </cell>
          <cell r="C97" t="str">
            <v>strojní
dodávka</v>
          </cell>
        </row>
        <row r="98">
          <cell r="A98" t="str">
            <v>PPN2</v>
          </cell>
          <cell r="B98" t="str">
            <v>Pákový servopohon PPN2 35.04.09
220V/50Hz, mikrospínače SO, SZ
bez výst. signálu, třmen se spojkou
</v>
          </cell>
          <cell r="C98" t="str">
            <v>Ekorex+
Nová Paka</v>
          </cell>
          <cell r="D98">
            <v>3550</v>
          </cell>
          <cell r="E98">
            <v>140</v>
          </cell>
        </row>
        <row r="99">
          <cell r="A99" t="str">
            <v>UNIPRES81</v>
          </cell>
          <cell r="B99" t="str">
            <v>405 114 811 343/64N3/2
Snímač tlaku UNIPRES 81</v>
          </cell>
          <cell r="C99" t="str">
            <v>ZPA
Nová Paka</v>
          </cell>
          <cell r="D99">
            <v>6570</v>
          </cell>
          <cell r="E99">
            <v>53</v>
          </cell>
        </row>
        <row r="100">
          <cell r="A100" t="str">
            <v>UNIPRES81
PP</v>
          </cell>
          <cell r="B100" t="str">
            <v>405 114 811 343/65N3/2
Tenzometrický snímač tlaku UNIPRES 81
připojení vnější závit M 20 x 1,5
kabelový vývod
výstup 4…20 mA
rozsah 0…1000 kPa
neověřený
základní chyba 0,6 %
kabel 3 m</v>
          </cell>
          <cell r="C100" t="str">
            <v>ZPA
Nová Paka</v>
          </cell>
          <cell r="D100">
            <v>6570</v>
          </cell>
          <cell r="E100">
            <v>53</v>
          </cell>
        </row>
        <row r="101">
          <cell r="A101" t="str">
            <v>TL.V.</v>
          </cell>
          <cell r="B101" t="str">
            <v>405 962 212 171
Uzavírací ventil nárožní</v>
          </cell>
          <cell r="C101" t="str">
            <v>ZPA
Nová Paka</v>
          </cell>
          <cell r="D101">
            <v>1200</v>
          </cell>
          <cell r="E101">
            <v>30</v>
          </cell>
        </row>
        <row r="102">
          <cell r="A102" t="str">
            <v>TL.V.
PP</v>
          </cell>
          <cell r="B102" t="str">
            <v>405 962 212 171
Uzavírací ventil nárožní
standardní provedení
materiál navař. kuželek a nátrubků  uhlíkatá ocel
vstup navařovací kuželka 12/6,5 mm
výstup nátrubek pro manometrické šroubení
s maticí M20x1,5
materiál těsnících kroužků viton</v>
          </cell>
          <cell r="C102" t="str">
            <v>ZPA
Nová Paka</v>
          </cell>
          <cell r="D102">
            <v>1670</v>
          </cell>
          <cell r="E102">
            <v>30</v>
          </cell>
        </row>
        <row r="103">
          <cell r="A103" t="str">
            <v>3VE4</v>
          </cell>
          <cell r="B103" t="str">
            <v>Elektromagnetický ventil 3VE4DF, DN 2</v>
          </cell>
          <cell r="C103" t="str">
            <v>ZPA Prešov</v>
          </cell>
          <cell r="D103">
            <v>750</v>
          </cell>
          <cell r="E103">
            <v>50</v>
          </cell>
        </row>
        <row r="104">
          <cell r="A104" t="str">
            <v>SVG10</v>
          </cell>
          <cell r="B104" t="str">
            <v>Elektromagnetický ventil SVG 10, DN 10</v>
          </cell>
          <cell r="C104" t="str">
            <v>Remagg
Vyškov</v>
          </cell>
          <cell r="D104">
            <v>735</v>
          </cell>
          <cell r="E104">
            <v>50</v>
          </cell>
        </row>
        <row r="105">
          <cell r="A105" t="str">
            <v>SVG20</v>
          </cell>
          <cell r="B105" t="str">
            <v>Elektromagnetický ventil SVG 20, 220 V</v>
          </cell>
          <cell r="C105" t="str">
            <v>Remagg
Vyškov</v>
          </cell>
          <cell r="D105">
            <v>1087</v>
          </cell>
          <cell r="E105">
            <v>50</v>
          </cell>
        </row>
        <row r="106">
          <cell r="A106" t="str">
            <v>ISTA,DN25F</v>
          </cell>
          <cell r="B106" t="str">
            <v>Měřič tepla SENSONIC WMZ 7F-3,5/T1
s vodoměrem DN 25, PN 16, 1l/imp.</v>
          </cell>
          <cell r="C106" t="str">
            <v>Raab Karcher</v>
          </cell>
          <cell r="D106">
            <v>18493</v>
          </cell>
          <cell r="E106">
            <v>180</v>
          </cell>
        </row>
        <row r="107">
          <cell r="A107" t="str">
            <v>ISTA,DN40</v>
          </cell>
          <cell r="B107" t="str">
            <v>Měřič tepla SENSONIC WMZ 20-10/T25
s vodoměrem DN 40, PN 16, 25l/imp.</v>
          </cell>
          <cell r="C107" t="str">
            <v>Raab Karcher</v>
          </cell>
          <cell r="D107">
            <v>26379</v>
          </cell>
          <cell r="E107">
            <v>180</v>
          </cell>
        </row>
        <row r="108">
          <cell r="A108" t="str">
            <v>ISTA,DN25</v>
          </cell>
          <cell r="B108" t="str">
            <v>Měřič tepla SENSONIC WMZ 7-3,5/T1
s vodoměrem DN 25, PN 16, 1l/imp.</v>
          </cell>
          <cell r="C108" t="str">
            <v>Raab Karcher</v>
          </cell>
          <cell r="D108">
            <v>17561</v>
          </cell>
          <cell r="E108">
            <v>180</v>
          </cell>
        </row>
        <row r="109">
          <cell r="A109" t="str">
            <v>ISTA,DN32</v>
          </cell>
          <cell r="B109" t="str">
            <v>Měřič tepla SENSONIC WMZ 10-6/T1
s vodoměrem DN 32, PN 16, 1l/imp.</v>
          </cell>
          <cell r="C109" t="str">
            <v>Raab Karcher</v>
          </cell>
          <cell r="D109">
            <v>17561</v>
          </cell>
          <cell r="E109">
            <v>180</v>
          </cell>
        </row>
        <row r="110">
          <cell r="A110" t="str">
            <v>mt200,40</v>
          </cell>
          <cell r="B110" t="str">
            <v>1 405 611 246 922
Měřič spotřeby tepla MT 200, DN 40
kabel ind. čidla 6 m
teploměry 8 m, jímka 50 mm
návarky dlouhé
materiál výstelky Teflon</v>
          </cell>
          <cell r="C110" t="str">
            <v>EESA
Lomnice n.P.</v>
          </cell>
          <cell r="D110">
            <v>27870</v>
          </cell>
          <cell r="E110">
            <v>450</v>
          </cell>
        </row>
        <row r="111">
          <cell r="A111" t="str">
            <v>mt200,150</v>
          </cell>
          <cell r="B111" t="str">
            <v>1 405 611 256 822
Měřič spotřeby tepla MT 200, DN 150
kabel ind. čidla 6 m
teploměry 8 m, jímka 100 mm
návarky dlouhé
materiál výstelky Teflon
ověření do Qmax = 300 m3/h</v>
          </cell>
          <cell r="C111" t="str">
            <v>EESA
Lomnice n.P.</v>
          </cell>
          <cell r="D111">
            <v>32700</v>
          </cell>
          <cell r="E111">
            <v>450</v>
          </cell>
        </row>
        <row r="112">
          <cell r="B112" t="str">
            <v>Kabelový žlab 62x50 vč. víka</v>
          </cell>
          <cell r="C112" t="str">
            <v>Elektram</v>
          </cell>
          <cell r="D112">
            <v>105</v>
          </cell>
          <cell r="E112">
            <v>46.6</v>
          </cell>
        </row>
        <row r="113">
          <cell r="B113" t="str">
            <v>Koleno kabelového žlabu 62x50 vč. víka</v>
          </cell>
          <cell r="C113" t="str">
            <v>Elektram</v>
          </cell>
          <cell r="D113">
            <v>137</v>
          </cell>
          <cell r="E113">
            <v>30.5</v>
          </cell>
        </row>
        <row r="114">
          <cell r="A114" t="str">
            <v>MTUV-VYST.</v>
          </cell>
          <cell r="B114" t="str">
            <v>Bezpotenciálový kontaktní výstup pro energii
typ č. 18572</v>
          </cell>
          <cell r="C114" t="str">
            <v>Raab Karcher</v>
          </cell>
          <cell r="D114">
            <v>2252</v>
          </cell>
          <cell r="E114">
            <v>50</v>
          </cell>
        </row>
        <row r="115">
          <cell r="A115" t="str">
            <v>MTOP</v>
          </cell>
          <cell r="B115" t="str">
            <v>Indukční měřič tepla THERMEOS</v>
          </cell>
          <cell r="C115" t="str">
            <v>stávající</v>
          </cell>
          <cell r="D115">
            <v>0</v>
          </cell>
          <cell r="E115">
            <v>230</v>
          </cell>
        </row>
        <row r="116">
          <cell r="B116" t="str">
            <v>Spojka kabelového žlabu 62</v>
          </cell>
          <cell r="C116" t="str">
            <v>Elektram</v>
          </cell>
          <cell r="D116">
            <v>2.4</v>
          </cell>
          <cell r="E116">
            <v>0</v>
          </cell>
        </row>
        <row r="117">
          <cell r="A117" t="str">
            <v>čtop3</v>
          </cell>
          <cell r="B117" t="str">
            <v>Oběhové čerpadlo top .vody
3 x 380/220 V</v>
          </cell>
          <cell r="C117" t="str">
            <v>strojní
dodávka</v>
          </cell>
          <cell r="D117">
            <v>0</v>
          </cell>
          <cell r="E117">
            <v>80</v>
          </cell>
        </row>
        <row r="118">
          <cell r="A118" t="str">
            <v>čtuv3</v>
          </cell>
          <cell r="B118" t="str">
            <v>Cirkulační čerpadlo TUV
3 x 380/220 VAC</v>
          </cell>
          <cell r="C118" t="str">
            <v>strojní
dodávka</v>
          </cell>
          <cell r="D118">
            <v>0</v>
          </cell>
          <cell r="E118">
            <v>80</v>
          </cell>
        </row>
        <row r="119">
          <cell r="B119" t="str">
            <v>Lišta PVC 40x40 vč. víka</v>
          </cell>
          <cell r="C119" t="str">
            <v>Elektram</v>
          </cell>
          <cell r="D119">
            <v>33</v>
          </cell>
          <cell r="E119">
            <v>8</v>
          </cell>
        </row>
        <row r="120">
          <cell r="A120" t="str">
            <v>ah1</v>
          </cell>
          <cell r="B120" t="str">
            <v>Úprava pro signalizaci provoz. pohotovosti</v>
          </cell>
          <cell r="C120" t="str">
            <v>ENERGIE MaR</v>
          </cell>
          <cell r="D120">
            <v>3500</v>
          </cell>
          <cell r="E120">
            <v>4.8</v>
          </cell>
        </row>
        <row r="121">
          <cell r="A121" t="str">
            <v>ah2</v>
          </cell>
          <cell r="B121" t="str">
            <v>Úprava zapojení - motáž, demontáž</v>
          </cell>
          <cell r="C121" t="str">
            <v>ENERGIE MaR</v>
          </cell>
          <cell r="D121">
            <v>28</v>
          </cell>
          <cell r="E121">
            <v>400</v>
          </cell>
        </row>
        <row r="122">
          <cell r="B122" t="str">
            <v>Pancéřová trubka PZ 21</v>
          </cell>
          <cell r="C122" t="str">
            <v>Elektram</v>
          </cell>
          <cell r="D122">
            <v>37</v>
          </cell>
          <cell r="E122">
            <v>8.45</v>
          </cell>
        </row>
        <row r="123">
          <cell r="B123" t="str">
            <v>Vodič CY 6mm2 ŽZ</v>
          </cell>
          <cell r="C123" t="str">
            <v>Elektram</v>
          </cell>
          <cell r="D123">
            <v>8.9</v>
          </cell>
          <cell r="E123">
            <v>5.2</v>
          </cell>
        </row>
        <row r="124">
          <cell r="B124" t="str">
            <v>Zemnící svorky vč. CU pásků</v>
          </cell>
          <cell r="C124" t="str">
            <v>Elektram</v>
          </cell>
          <cell r="D124">
            <v>11</v>
          </cell>
          <cell r="E124">
            <v>4.5</v>
          </cell>
        </row>
        <row r="125">
          <cell r="A125" t="str">
            <v>TG2</v>
          </cell>
          <cell r="B125" t="str">
            <v>Ponorné čidlo teploty Ni 1000/6180ppm
v nerezovém pouzdru TG2
délka 50 mm, závit M10x1,5</v>
          </cell>
          <cell r="C125" t="str">
            <v>SENSIT
Rožnov p. R.</v>
          </cell>
          <cell r="D125">
            <v>400</v>
          </cell>
          <cell r="E125">
            <v>19</v>
          </cell>
        </row>
        <row r="126">
          <cell r="D126" t="str">
            <v>celkem</v>
          </cell>
        </row>
        <row r="128">
          <cell r="A128" t="str">
            <v>1-BT1</v>
          </cell>
          <cell r="B128" t="str">
            <v>Odporový snímač teploty venkovní
NS 111.65
rozsah -30°C až 100°C
obj. č. 01 200 200</v>
          </cell>
          <cell r="C128" t="str">
            <v>SENSIT
Rožnov p. R.</v>
          </cell>
          <cell r="D128">
            <v>714</v>
          </cell>
          <cell r="E128">
            <v>19</v>
          </cell>
        </row>
        <row r="129">
          <cell r="A129" t="str">
            <v>1-BT2</v>
          </cell>
          <cell r="B129" t="str">
            <v>Odporový snímač teploty do potrubí
NS 131.65 - 100
rozsah -30°C až 250°C
obj. č. 01 610 200</v>
          </cell>
          <cell r="C129" t="str">
            <v>SENSIT
Rožnov p. R.</v>
          </cell>
          <cell r="D129">
            <v>930</v>
          </cell>
          <cell r="E129">
            <v>19</v>
          </cell>
        </row>
        <row r="130">
          <cell r="A130" t="str">
            <v>1-BT3</v>
          </cell>
          <cell r="B130" t="str">
            <v>Odporový snímač teploty prostorový
NS 101.30
rozsah -30°C až 100°C
obj. č. 01 100 200</v>
          </cell>
          <cell r="C130" t="str">
            <v>SENSIT
Rožnov p. R.</v>
          </cell>
          <cell r="D130">
            <v>432</v>
          </cell>
          <cell r="E130">
            <v>19</v>
          </cell>
        </row>
        <row r="131">
          <cell r="A131" t="str">
            <v>1-M1</v>
          </cell>
          <cell r="B131" t="str">
            <v>Směšovací ventil 3G25, DN25, PN 6
s el. pohonem ESBE 62P, řízený 0-10V</v>
          </cell>
          <cell r="C131" t="str">
            <v>Eko-Ekviterm </v>
          </cell>
          <cell r="D131">
            <v>4890</v>
          </cell>
          <cell r="E131">
            <v>50</v>
          </cell>
        </row>
        <row r="132">
          <cell r="A132" t="str">
            <v>1-M1</v>
          </cell>
          <cell r="B132" t="str">
            <v>Směšovací ventil 3G32, DN32 PN 6
s el. pohonem ESBE 62P, řízený 0-10V</v>
          </cell>
          <cell r="C132" t="str">
            <v>Eko-Ekviterm </v>
          </cell>
          <cell r="D132">
            <v>4950</v>
          </cell>
          <cell r="E132">
            <v>50</v>
          </cell>
        </row>
        <row r="133">
          <cell r="A133" t="str">
            <v>1-M1</v>
          </cell>
          <cell r="B133" t="str">
            <v>Směšovací ventil 3G40, DN40, PN 6
s el. pohonem ESBE 62P, řízený 0-10V</v>
          </cell>
          <cell r="C133" t="str">
            <v>Eko-Ekviterm </v>
          </cell>
          <cell r="D133">
            <v>5070</v>
          </cell>
          <cell r="E133">
            <v>50</v>
          </cell>
        </row>
        <row r="134">
          <cell r="A134" t="str">
            <v>1-M1</v>
          </cell>
          <cell r="B134" t="str">
            <v>Směšovací ventil 3G50, DN50, PN 6
s el. pohonem ESBE 62P, řízený 0-10V</v>
          </cell>
          <cell r="C134" t="str">
            <v>Eko-Ekviterm </v>
          </cell>
          <cell r="D134">
            <v>5840</v>
          </cell>
          <cell r="E134">
            <v>50</v>
          </cell>
        </row>
        <row r="136">
          <cell r="A136" t="str">
            <v>6-M1</v>
          </cell>
          <cell r="B136" t="str">
            <v>Oběhové čerpadlo top .vody
3 x 380/220 V</v>
          </cell>
          <cell r="D136">
            <v>0</v>
          </cell>
          <cell r="E136">
            <v>60</v>
          </cell>
        </row>
        <row r="137">
          <cell r="A137" t="str">
            <v>2-BT1.1
2-BT1.2</v>
          </cell>
          <cell r="B137" t="str">
            <v>Odporový snímač teploty do potrubí
NS 131.65 - 220
rozsah -30°C až 250°C
obj. č. 01 630 200</v>
          </cell>
          <cell r="C137" t="str">
            <v>SENSIT
Rožnov p. R.</v>
          </cell>
          <cell r="D137">
            <v>978</v>
          </cell>
          <cell r="E137">
            <v>19</v>
          </cell>
        </row>
        <row r="138">
          <cell r="A138" t="str">
            <v>2-BT1</v>
          </cell>
          <cell r="B138" t="str">
            <v>Příložné odporové čidlo
NS 141.65
rozsah 0°C až 130°C
obj. Č. 01 700 200</v>
          </cell>
          <cell r="C138" t="str">
            <v>SENSIT
Rožnov p. R.</v>
          </cell>
          <cell r="D138">
            <v>750</v>
          </cell>
          <cell r="E138">
            <v>19</v>
          </cell>
        </row>
        <row r="139">
          <cell r="A139" t="str">
            <v>2-M1.1
2-M1.2
</v>
          </cell>
          <cell r="B139" t="str">
            <v>Kulový kohout Giacomini DN 25, PN 25
s el. pohonem PPN2 20.04.07.20/230VAC
se sig. SO,SZ, bez vysílače</v>
          </cell>
          <cell r="C139" t="str">
            <v>Ekorex
Nová Paka</v>
          </cell>
          <cell r="D139">
            <v>3860</v>
          </cell>
          <cell r="E139">
            <v>50</v>
          </cell>
        </row>
        <row r="140">
          <cell r="A140" t="str">
            <v>2-M1.1
2-M1.2
</v>
          </cell>
          <cell r="B140" t="str">
            <v>Kulový kohout Giacomini DN 32, PN 25
s el. pohonem PPN2 35.04.07.20/230VAC
se sig. SO,SZ, bez vysílače</v>
          </cell>
          <cell r="C140" t="str">
            <v>Ekorex
Nová Paka</v>
          </cell>
          <cell r="D140">
            <v>4070</v>
          </cell>
          <cell r="E140">
            <v>50</v>
          </cell>
        </row>
        <row r="141">
          <cell r="A141" t="str">
            <v>2-M1.1
2-M1.2
</v>
          </cell>
          <cell r="B141" t="str">
            <v>Kulový kohout Giacomini DN 40, PN 25
s el. pohonem PPN2 65.04.07.00/230VAC
se sig. SO,SZ, bez vysílače</v>
          </cell>
          <cell r="C141" t="str">
            <v>Ekorex
Nová Paka</v>
          </cell>
          <cell r="D141">
            <v>7790</v>
          </cell>
          <cell r="E141">
            <v>50</v>
          </cell>
        </row>
        <row r="142">
          <cell r="A142" t="str">
            <v>2-M1.1
2-M1.2
</v>
          </cell>
          <cell r="B142" t="str">
            <v>Kulový kohout Giacomini DN 50, PN25
s el. pohonem PPN2 65.04.07.00/230VAC
se sig. SO,SZ, bez vysílače</v>
          </cell>
          <cell r="C142" t="str">
            <v>Ekorex
Nová Paka</v>
          </cell>
          <cell r="D142">
            <v>7980</v>
          </cell>
          <cell r="E142">
            <v>50</v>
          </cell>
        </row>
        <row r="143">
          <cell r="A143" t="str">
            <v>3-YV1
4-YV1</v>
          </cell>
          <cell r="B143" t="str">
            <v>Dvoucestný elektromagnetický ventil DN 20
typ EVPE 2020.01, 220 VAC</v>
          </cell>
          <cell r="C143" t="str">
            <v>PEVEKO
Boršice u B.</v>
          </cell>
          <cell r="D143">
            <v>1200</v>
          </cell>
          <cell r="E143">
            <v>50</v>
          </cell>
        </row>
        <row r="144">
          <cell r="A144" t="str">
            <v>3-YV1
4-YV1</v>
          </cell>
          <cell r="B144" t="str">
            <v>Dvoucestný elektromagnetický ventil DN 30 
typ EVPE 2030.01, 220 VAC</v>
          </cell>
          <cell r="C144" t="str">
            <v>PEVEKO
Boršice u B.</v>
          </cell>
          <cell r="D144">
            <v>1600</v>
          </cell>
          <cell r="E144">
            <v>50</v>
          </cell>
        </row>
        <row r="145">
          <cell r="A145" t="str">
            <v>3-YV1
4-YV1</v>
          </cell>
          <cell r="B145" t="str">
            <v>Dvoucestný elektromagnetický ventil DN 40 
typ EVPE 2040.01, 220 VAC</v>
          </cell>
          <cell r="C145" t="str">
            <v>PEVEKO
Boršice u B.</v>
          </cell>
          <cell r="D145">
            <v>1900</v>
          </cell>
          <cell r="E145">
            <v>50</v>
          </cell>
        </row>
        <row r="146">
          <cell r="A146" t="str">
            <v>7-M1</v>
          </cell>
          <cell r="B146" t="str">
            <v>Cirkulační čerpadlo TUV
220 VAC</v>
          </cell>
          <cell r="E146">
            <v>40</v>
          </cell>
        </row>
        <row r="147">
          <cell r="A147" t="str">
            <v>7-M1</v>
          </cell>
          <cell r="B147" t="str">
            <v>Cirkulační čerpadlo TUV
3 x 380/220 VAC</v>
          </cell>
          <cell r="E147">
            <v>60</v>
          </cell>
        </row>
        <row r="148">
          <cell r="A148" t="str">
            <v>7-M1</v>
          </cell>
          <cell r="B148" t="str">
            <v>Nabíjecí čerpadlo TUV
220 VAC</v>
          </cell>
          <cell r="E148">
            <v>40</v>
          </cell>
        </row>
        <row r="155">
          <cell r="B155" t="str">
            <v>Rozvaděč RD2</v>
          </cell>
        </row>
        <row r="156">
          <cell r="A156" t="str">
            <v>r3</v>
          </cell>
          <cell r="B156" t="str">
            <v>Rozvaděčová skříň 2000x2400x400</v>
          </cell>
          <cell r="C156" t="str">
            <v>Schrack</v>
          </cell>
          <cell r="D156">
            <v>38000</v>
          </cell>
          <cell r="E156">
            <v>900</v>
          </cell>
        </row>
        <row r="157">
          <cell r="A157" t="str">
            <v>r2</v>
          </cell>
          <cell r="B157" t="str">
            <v>Rozvaděčová skříň 2000x800x400</v>
          </cell>
          <cell r="C157" t="str">
            <v>ZPA Pečky</v>
          </cell>
          <cell r="D157">
            <v>14000</v>
          </cell>
          <cell r="E157">
            <v>550</v>
          </cell>
        </row>
        <row r="158">
          <cell r="A158" t="str">
            <v>r1</v>
          </cell>
          <cell r="B158" t="str">
            <v>Rozvaděčová skříň 210x675x450</v>
          </cell>
          <cell r="C158" t="str">
            <v>atyp</v>
          </cell>
          <cell r="D158">
            <v>0</v>
          </cell>
          <cell r="E158">
            <v>0</v>
          </cell>
        </row>
        <row r="159">
          <cell r="A159" t="str">
            <v>v1</v>
          </cell>
        </row>
        <row r="160">
          <cell r="A160" t="str">
            <v>v9</v>
          </cell>
          <cell r="B160" t="str">
            <v>vývodka GP 9</v>
          </cell>
          <cell r="C160" t="str">
            <v>Elektram</v>
          </cell>
          <cell r="D160">
            <v>5</v>
          </cell>
        </row>
        <row r="161">
          <cell r="A161" t="str">
            <v>v11</v>
          </cell>
          <cell r="B161" t="str">
            <v>vývodka GP 11</v>
          </cell>
          <cell r="C161" t="str">
            <v>Elektram</v>
          </cell>
          <cell r="D161">
            <v>5.3</v>
          </cell>
        </row>
        <row r="162">
          <cell r="A162" t="str">
            <v>v13</v>
          </cell>
          <cell r="B162" t="str">
            <v>vývodka GP 13.5</v>
          </cell>
          <cell r="C162" t="str">
            <v>Elektram</v>
          </cell>
          <cell r="D162">
            <v>5.6</v>
          </cell>
        </row>
        <row r="163">
          <cell r="A163" t="str">
            <v>v16</v>
          </cell>
          <cell r="B163" t="str">
            <v>vývodka GP 16</v>
          </cell>
          <cell r="C163" t="str">
            <v>Elektram</v>
          </cell>
          <cell r="D163">
            <v>7.6</v>
          </cell>
        </row>
        <row r="164">
          <cell r="A164" t="str">
            <v>v29</v>
          </cell>
          <cell r="B164" t="str">
            <v>vývodka GP 29</v>
          </cell>
          <cell r="C164" t="str">
            <v>Elektram</v>
          </cell>
          <cell r="D164">
            <v>14</v>
          </cell>
        </row>
        <row r="166">
          <cell r="A166" t="str">
            <v>sv2,5</v>
          </cell>
          <cell r="B166" t="str">
            <v>Svorka řadová - šedá M2,5/5</v>
          </cell>
          <cell r="C166" t="str">
            <v>Entrelec</v>
          </cell>
          <cell r="D166">
            <v>12</v>
          </cell>
        </row>
        <row r="167">
          <cell r="A167" t="str">
            <v>sv2,5m</v>
          </cell>
          <cell r="B167" t="str">
            <v>Svorka řadová - světle modrá M2,5/5.N</v>
          </cell>
          <cell r="C167" t="str">
            <v>Entrelec</v>
          </cell>
          <cell r="D167">
            <v>13</v>
          </cell>
        </row>
        <row r="168">
          <cell r="A168" t="str">
            <v>sv2,5ž</v>
          </cell>
          <cell r="B168" t="str">
            <v>Svorka řadová - žlutozelená M2,5/5.P</v>
          </cell>
          <cell r="C168" t="str">
            <v>Entrelec</v>
          </cell>
          <cell r="D168">
            <v>44</v>
          </cell>
        </row>
        <row r="170">
          <cell r="A170" t="str">
            <v>sv4</v>
          </cell>
          <cell r="B170" t="str">
            <v>Svorka řadová - šedá M4/6</v>
          </cell>
          <cell r="C170" t="str">
            <v>Entrelec</v>
          </cell>
          <cell r="D170">
            <v>12.2</v>
          </cell>
        </row>
        <row r="171">
          <cell r="A171" t="str">
            <v>sv4m</v>
          </cell>
          <cell r="B171" t="str">
            <v>Svorka řadová - světle modrá M4/6.N</v>
          </cell>
          <cell r="C171" t="str">
            <v>Entrelec</v>
          </cell>
          <cell r="D171">
            <v>13.2</v>
          </cell>
        </row>
        <row r="172">
          <cell r="A172" t="str">
            <v>sv4ž</v>
          </cell>
          <cell r="B172" t="str">
            <v>Svorka řadová - žlutozelená M4/6.P</v>
          </cell>
          <cell r="C172" t="str">
            <v>Entrelec</v>
          </cell>
          <cell r="D172">
            <v>44</v>
          </cell>
        </row>
        <row r="174">
          <cell r="A174" t="str">
            <v>svj</v>
          </cell>
          <cell r="B174" t="str">
            <v>Svorka rozjišťovací M4/8SF</v>
          </cell>
          <cell r="C174" t="str">
            <v>Entrelec</v>
          </cell>
          <cell r="D174">
            <v>49</v>
          </cell>
        </row>
        <row r="176">
          <cell r="A176" t="str">
            <v>žG/R</v>
          </cell>
          <cell r="B176" t="str">
            <v>Indikační svítidlo HDS-95/G/R</v>
          </cell>
          <cell r="C176" t="str">
            <v>Eleco</v>
          </cell>
          <cell r="D176">
            <v>119</v>
          </cell>
        </row>
        <row r="177">
          <cell r="A177" t="str">
            <v>žG230</v>
          </cell>
          <cell r="B177" t="str">
            <v>Indikační svítidlo HDS-95/G, 230 VAC</v>
          </cell>
          <cell r="C177" t="str">
            <v>Eleco</v>
          </cell>
          <cell r="D177">
            <v>119</v>
          </cell>
        </row>
        <row r="178">
          <cell r="A178" t="str">
            <v>žG24</v>
          </cell>
          <cell r="B178" t="str">
            <v>Indikační svítidlo HDS-95/G, 24 VDC</v>
          </cell>
          <cell r="C178" t="str">
            <v>Eleco</v>
          </cell>
          <cell r="D178">
            <v>119</v>
          </cell>
        </row>
        <row r="179">
          <cell r="A179" t="str">
            <v>žR</v>
          </cell>
          <cell r="B179" t="str">
            <v>Indikační svítidlo HDS-95/R</v>
          </cell>
          <cell r="C179" t="str">
            <v>Eleco</v>
          </cell>
          <cell r="D179">
            <v>119</v>
          </cell>
        </row>
        <row r="180">
          <cell r="A180" t="str">
            <v>T10stisk</v>
          </cell>
          <cell r="B180" t="str">
            <v>Stiskací hlavice černá T10A</v>
          </cell>
          <cell r="C180" t="str">
            <v>Groupe-Schneider</v>
          </cell>
          <cell r="D180">
            <v>54</v>
          </cell>
        </row>
        <row r="181">
          <cell r="A181" t="str">
            <v>T103pol</v>
          </cell>
          <cell r="B181" t="str">
            <v>Ovládací hlavice trojpolohová T10 B ČE</v>
          </cell>
          <cell r="C181" t="str">
            <v>Groupe-Schneider</v>
          </cell>
          <cell r="D181">
            <v>69</v>
          </cell>
        </row>
        <row r="182">
          <cell r="A182" t="str">
            <v>T102pol</v>
          </cell>
          <cell r="B182" t="str">
            <v>Ovládací hlavice dvojpolohová T10 G ČE </v>
          </cell>
          <cell r="C182" t="str">
            <v>Groupe-Schneider</v>
          </cell>
          <cell r="D182">
            <v>67</v>
          </cell>
        </row>
        <row r="183">
          <cell r="A183" t="str">
            <v>přepj</v>
          </cell>
          <cell r="B183" t="str">
            <v>Přepínací jednotka T10 Z 111 Z</v>
          </cell>
          <cell r="C183" t="str">
            <v>Groupe-Schneider</v>
          </cell>
          <cell r="D183">
            <v>51</v>
          </cell>
        </row>
        <row r="184">
          <cell r="A184" t="str">
            <v>spinj</v>
          </cell>
          <cell r="B184" t="str">
            <v>Spínací jednotka T10 Z 011 Y</v>
          </cell>
          <cell r="C184" t="str">
            <v>Groupe-Schneider</v>
          </cell>
          <cell r="D184">
            <v>43</v>
          </cell>
        </row>
        <row r="185">
          <cell r="A185" t="str">
            <v>spoj</v>
          </cell>
          <cell r="B185" t="str">
            <v>Spojovací díl T10 SD 3</v>
          </cell>
          <cell r="C185" t="str">
            <v>Groupe-Schneider</v>
          </cell>
          <cell r="D185">
            <v>5.5</v>
          </cell>
        </row>
        <row r="187">
          <cell r="A187" t="str">
            <v>hlvyp</v>
          </cell>
          <cell r="B187" t="str">
            <v>Hlavní vypínač 3f/16A </v>
          </cell>
          <cell r="C187" t="str">
            <v>Končar</v>
          </cell>
          <cell r="D187">
            <v>343</v>
          </cell>
        </row>
        <row r="194">
          <cell r="A194" t="str">
            <v>Hlj</v>
          </cell>
          <cell r="B194" t="str">
            <v>Hlavní jistič BA 51 - 37 s pom. cívkou</v>
          </cell>
          <cell r="C194" t="str">
            <v>OEZ Letohrad</v>
          </cell>
          <cell r="D194">
            <v>4000</v>
          </cell>
        </row>
        <row r="196">
          <cell r="A196" t="str">
            <v>MS2,5-4</v>
          </cell>
          <cell r="B196" t="str">
            <v>Motorový spouštěč 2,5-4 A</v>
          </cell>
          <cell r="C196" t="str">
            <v>Schrack</v>
          </cell>
          <cell r="D196">
            <v>850</v>
          </cell>
        </row>
        <row r="197">
          <cell r="A197" t="str">
            <v>MS4-6,3</v>
          </cell>
          <cell r="B197" t="str">
            <v>Motorový spouštěč 4-6,3 A</v>
          </cell>
          <cell r="C197" t="str">
            <v>Schrack</v>
          </cell>
          <cell r="D197">
            <v>850</v>
          </cell>
        </row>
        <row r="198">
          <cell r="A198" t="str">
            <v>MS6,3-10</v>
          </cell>
          <cell r="B198" t="str">
            <v>Motorový spouštěč 6,3-10</v>
          </cell>
          <cell r="C198" t="str">
            <v>Schrack</v>
          </cell>
          <cell r="D198">
            <v>850</v>
          </cell>
        </row>
        <row r="199">
          <cell r="A199" t="str">
            <v>MS25-40</v>
          </cell>
          <cell r="B199" t="str">
            <v>Motorový spouštěč 25-40</v>
          </cell>
          <cell r="C199" t="str">
            <v>Schrack</v>
          </cell>
          <cell r="D199">
            <v>900</v>
          </cell>
        </row>
        <row r="204">
          <cell r="A204" t="str">
            <v>j0,4</v>
          </cell>
          <cell r="B204" t="str">
            <v>Jednopólový jistič LSN 0,4A/K</v>
          </cell>
          <cell r="C204" t="str">
            <v>OEZ Letohrad</v>
          </cell>
          <cell r="D204">
            <v>200</v>
          </cell>
        </row>
        <row r="205">
          <cell r="A205" t="str">
            <v>j4</v>
          </cell>
          <cell r="B205" t="str">
            <v>Jednopólový jistič Schrack 4A/C</v>
          </cell>
          <cell r="C205" t="str">
            <v>Schrack</v>
          </cell>
          <cell r="D205">
            <v>121</v>
          </cell>
        </row>
        <row r="206">
          <cell r="A206" t="str">
            <v>j6</v>
          </cell>
          <cell r="B206" t="str">
            <v>Jednopólový jistič Schrack 6A/C</v>
          </cell>
          <cell r="C206" t="str">
            <v>Schrack</v>
          </cell>
          <cell r="D206">
            <v>108</v>
          </cell>
        </row>
        <row r="207">
          <cell r="A207" t="str">
            <v>j2x3</v>
          </cell>
          <cell r="B207" t="str">
            <v>Třípólový jistič Schrack 2A/C</v>
          </cell>
          <cell r="C207" t="str">
            <v>Schrack</v>
          </cell>
          <cell r="D207">
            <v>346</v>
          </cell>
        </row>
        <row r="208">
          <cell r="A208" t="str">
            <v>j4x3</v>
          </cell>
          <cell r="B208" t="str">
            <v>Třípólový jistič Schrack 4A/C</v>
          </cell>
          <cell r="C208" t="str">
            <v>Schrack</v>
          </cell>
          <cell r="D208">
            <v>346</v>
          </cell>
        </row>
        <row r="209">
          <cell r="A209" t="str">
            <v>j6x3</v>
          </cell>
          <cell r="B209" t="str">
            <v>Třípólový jistič Schrack 6A/C</v>
          </cell>
          <cell r="C209" t="str">
            <v>Schrack</v>
          </cell>
          <cell r="D209">
            <v>346</v>
          </cell>
        </row>
        <row r="210">
          <cell r="A210" t="str">
            <v>j16x3</v>
          </cell>
          <cell r="B210" t="str">
            <v>Třípólový jistič Schrack 16A/C</v>
          </cell>
          <cell r="C210" t="str">
            <v>Schrack</v>
          </cell>
          <cell r="D210">
            <v>346</v>
          </cell>
        </row>
        <row r="211">
          <cell r="A211" t="str">
            <v>j25x3</v>
          </cell>
          <cell r="B211" t="str">
            <v>Třípólový jistič Schrack 25A/C</v>
          </cell>
          <cell r="C211" t="str">
            <v>Schrack</v>
          </cell>
          <cell r="D211">
            <v>346</v>
          </cell>
        </row>
        <row r="212">
          <cell r="A212" t="str">
            <v>j25x3</v>
          </cell>
          <cell r="B212" t="str">
            <v>Třípólový jistič Schrack 25A/C</v>
          </cell>
          <cell r="C212" t="str">
            <v>Schrack</v>
          </cell>
          <cell r="D212">
            <v>346</v>
          </cell>
        </row>
        <row r="213">
          <cell r="A213" t="str">
            <v>pm</v>
          </cell>
          <cell r="B213" t="str">
            <v>Pomocný spínač BD-H1, 1Z+1R</v>
          </cell>
          <cell r="C213" t="str">
            <v>Schrack</v>
          </cell>
          <cell r="D213">
            <v>150</v>
          </cell>
        </row>
        <row r="214">
          <cell r="A214" t="str">
            <v>st</v>
          </cell>
          <cell r="B214" t="str">
            <v>Stykač 3.f. 24VAC/LC1/LLC2-K06</v>
          </cell>
          <cell r="C214" t="str">
            <v>Groupe-Schneider</v>
          </cell>
          <cell r="D214">
            <v>210</v>
          </cell>
        </row>
        <row r="215">
          <cell r="A215" t="str">
            <v>stht</v>
          </cell>
          <cell r="B215" t="str">
            <v>Stykačová kombinace K2Y 40 S 230</v>
          </cell>
          <cell r="C215" t="str">
            <v>Schrack</v>
          </cell>
          <cell r="D215">
            <v>3760</v>
          </cell>
        </row>
        <row r="216">
          <cell r="B216" t="str">
            <v>Pomocný spínač 1Z+1R</v>
          </cell>
          <cell r="C216" t="str">
            <v>Schrack</v>
          </cell>
          <cell r="D216">
            <v>150</v>
          </cell>
        </row>
        <row r="217">
          <cell r="A217" t="str">
            <v>r2p</v>
          </cell>
          <cell r="B217" t="str">
            <v>Relé 2.párové RT II/2 464 524 Schrack</v>
          </cell>
          <cell r="C217" t="str">
            <v>Schrack</v>
          </cell>
          <cell r="D217">
            <v>145</v>
          </cell>
        </row>
        <row r="218">
          <cell r="A218" t="str">
            <v>pr2p</v>
          </cell>
          <cell r="B218" t="str">
            <v>Patice 2.párové RP 78 625 Schrack</v>
          </cell>
          <cell r="C218" t="str">
            <v>Schrack</v>
          </cell>
          <cell r="D218">
            <v>120</v>
          </cell>
        </row>
        <row r="219">
          <cell r="A219" t="str">
            <v>čr</v>
          </cell>
          <cell r="B219" t="str">
            <v>Časové relé</v>
          </cell>
          <cell r="C219" t="str">
            <v>Schrack</v>
          </cell>
          <cell r="D219">
            <v>800</v>
          </cell>
        </row>
        <row r="220">
          <cell r="A220" t="str">
            <v>lim</v>
          </cell>
          <cell r="B220" t="str">
            <v>Limitér analogových signálů LT1-1a</v>
          </cell>
          <cell r="C220" t="str">
            <v>DA Ostrava</v>
          </cell>
          <cell r="D220">
            <v>1675</v>
          </cell>
        </row>
        <row r="221">
          <cell r="A221" t="str">
            <v>alert8.1</v>
          </cell>
          <cell r="B221" t="str">
            <v>40 07003 901001
Poruchová signalizace ALERT 8.1
barva červená</v>
          </cell>
          <cell r="C221" t="str">
            <v>ZPA Ekoreg
Ústí n/L</v>
          </cell>
          <cell r="D221">
            <v>2450</v>
          </cell>
        </row>
        <row r="222">
          <cell r="A222" t="str">
            <v>z3a</v>
          </cell>
          <cell r="B222" t="str">
            <v>Zdroj bezpečného napětí 230VAC/24VAC 75W</v>
          </cell>
          <cell r="C222" t="str">
            <v>Comel</v>
          </cell>
          <cell r="D222">
            <v>341</v>
          </cell>
        </row>
        <row r="223">
          <cell r="A223" t="str">
            <v>z4a</v>
          </cell>
          <cell r="B223" t="str">
            <v>Zdroj bezpečného napětí 230VAC/24VAC 100W</v>
          </cell>
          <cell r="C223" t="str">
            <v>Comel</v>
          </cell>
          <cell r="D223">
            <v>600</v>
          </cell>
        </row>
        <row r="224">
          <cell r="A224" t="str">
            <v>prOV100</v>
          </cell>
          <cell r="B224" t="str">
            <v>Převodník odporového signálu
typ GR - 00.01.42
vstup OV 100
výstup 4-20 mA</v>
          </cell>
          <cell r="C224" t="str">
            <v>Ekorex Lázně
Bohdaneč</v>
          </cell>
          <cell r="D224">
            <v>1400</v>
          </cell>
        </row>
        <row r="225">
          <cell r="A225" t="str">
            <v>prPt100</v>
          </cell>
          <cell r="B225" t="str">
            <v>Převodník pro Pt 100 na lištu DIN 
typ GP - 32.00.40
rozsah 0 až 400 stC
vstup Pt 100
výstup 4-20 mA</v>
          </cell>
          <cell r="C225" t="str">
            <v>Ekorex Lázně
Bohdaneč</v>
          </cell>
          <cell r="D225">
            <v>1400</v>
          </cell>
        </row>
        <row r="226">
          <cell r="A226" t="str">
            <v>z1a</v>
          </cell>
          <cell r="B226" t="str">
            <v>Stabilizovaný napájecí zdroj 230VAC/24VDC, 1A</v>
          </cell>
          <cell r="C226" t="str">
            <v>Axima</v>
          </cell>
          <cell r="D226">
            <v>1664</v>
          </cell>
        </row>
        <row r="227">
          <cell r="A227" t="str">
            <v>zs01</v>
          </cell>
          <cell r="B227" t="str">
            <v>Stabilizovaný zdroj ZS 01 230VAC/24VDC </v>
          </cell>
          <cell r="C227" t="str">
            <v>JSP
Nová Paka</v>
          </cell>
          <cell r="D227">
            <v>900</v>
          </cell>
        </row>
        <row r="228">
          <cell r="A228" t="str">
            <v>zs0110V</v>
          </cell>
          <cell r="B228" t="str">
            <v>Stabilizivaný zdroj ZS 01, 230 VAC/10 VDC</v>
          </cell>
          <cell r="C228" t="str">
            <v>JSP
Nová Paka</v>
          </cell>
          <cell r="D228">
            <v>900</v>
          </cell>
        </row>
        <row r="229">
          <cell r="A229" t="str">
            <v>zás</v>
          </cell>
          <cell r="B229" t="str">
            <v>Světelná zásuvka 230VAC/10A na DIN lištu</v>
          </cell>
          <cell r="C229" t="str">
            <v>Comel</v>
          </cell>
          <cell r="D229">
            <v>125</v>
          </cell>
        </row>
        <row r="230">
          <cell r="A230" t="str">
            <v>Osv</v>
          </cell>
          <cell r="B230" t="str">
            <v>Osvětlení</v>
          </cell>
          <cell r="C230" t="str">
            <v>ostatní</v>
          </cell>
          <cell r="D230">
            <v>1800</v>
          </cell>
        </row>
        <row r="231">
          <cell r="A231" t="str">
            <v>elměr </v>
          </cell>
          <cell r="B231" t="str">
            <v>Elektroměr třífázový, CEr15467</v>
          </cell>
          <cell r="C231" t="str">
            <v>Merlin&amp;G</v>
          </cell>
          <cell r="D231">
            <v>4470</v>
          </cell>
        </row>
        <row r="232">
          <cell r="A232" t="str">
            <v>krel</v>
          </cell>
          <cell r="B232" t="str">
            <v>Krabice Schiller vč. těsnění pro elektroměr</v>
          </cell>
          <cell r="C232" t="str">
            <v>Elektram</v>
          </cell>
          <cell r="D232">
            <v>340</v>
          </cell>
        </row>
        <row r="233">
          <cell r="A233" t="str">
            <v>ptr</v>
          </cell>
          <cell r="B233" t="str">
            <v>Proudový transformátor 50/5 A, 15577</v>
          </cell>
          <cell r="C233" t="str">
            <v>Merlin&amp;G</v>
          </cell>
          <cell r="D233">
            <v>448</v>
          </cell>
        </row>
        <row r="235">
          <cell r="A235" t="str">
            <v>dtr</v>
          </cell>
          <cell r="B235" t="str">
            <v>Přepěťová ochrana na datové vedení DTR1/12</v>
          </cell>
          <cell r="C235" t="str">
            <v>HAKEL</v>
          </cell>
          <cell r="D235">
            <v>1200</v>
          </cell>
        </row>
        <row r="236">
          <cell r="A236" t="str">
            <v>pik</v>
          </cell>
          <cell r="B236" t="str">
            <v>Přepěťová ochrana s vf. Filtrem PI-K4</v>
          </cell>
          <cell r="C236" t="str">
            <v>HAKEL</v>
          </cell>
          <cell r="D236">
            <v>2500</v>
          </cell>
        </row>
        <row r="237">
          <cell r="A237" t="str">
            <v>pIII/1</v>
          </cell>
          <cell r="B237" t="str">
            <v>Přepěťová ochrana PIII/1</v>
          </cell>
          <cell r="C237" t="str">
            <v>HAKEL</v>
          </cell>
          <cell r="D237">
            <v>2100</v>
          </cell>
        </row>
        <row r="238">
          <cell r="A238" t="str">
            <v>PIL</v>
          </cell>
          <cell r="B238" t="str">
            <v>Oddělovací impedance PI-L</v>
          </cell>
          <cell r="C238" t="str">
            <v>HAKEL</v>
          </cell>
          <cell r="D238">
            <v>800</v>
          </cell>
        </row>
        <row r="239">
          <cell r="A239" t="str">
            <v>š50</v>
          </cell>
          <cell r="B239" t="str">
            <v>Štítek plast 50x105 mm</v>
          </cell>
          <cell r="C239" t="str">
            <v>ostatní</v>
          </cell>
          <cell r="D239">
            <v>45</v>
          </cell>
        </row>
        <row r="240">
          <cell r="A240" t="str">
            <v>š10</v>
          </cell>
          <cell r="B240" t="str">
            <v>Štítek plast 10x50 mm</v>
          </cell>
          <cell r="C240" t="str">
            <v>ostatní</v>
          </cell>
          <cell r="D240">
            <v>15</v>
          </cell>
        </row>
        <row r="241">
          <cell r="A241" t="str">
            <v>vod</v>
          </cell>
          <cell r="B241" t="str">
            <v>Vodiče rozvaděče</v>
          </cell>
          <cell r="C241" t="str">
            <v>ostatní</v>
          </cell>
          <cell r="D241">
            <v>8</v>
          </cell>
        </row>
        <row r="242">
          <cell r="A242" t="str">
            <v>ost</v>
          </cell>
          <cell r="B242" t="str">
            <v>Ostatní materiál</v>
          </cell>
          <cell r="C242" t="str">
            <v>ostatní</v>
          </cell>
          <cell r="D242">
            <v>400</v>
          </cell>
        </row>
        <row r="243">
          <cell r="A243" t="str">
            <v>mont</v>
          </cell>
          <cell r="B243" t="str">
            <v>Montáž rozvaděče</v>
          </cell>
          <cell r="C243" t="str">
            <v>Energie MaR</v>
          </cell>
          <cell r="D243">
            <v>150</v>
          </cell>
        </row>
        <row r="245">
          <cell r="B245" t="str">
            <v>Řídící systém</v>
          </cell>
        </row>
        <row r="246">
          <cell r="A246" t="str">
            <v>ns950ram6</v>
          </cell>
          <cell r="B246" t="str">
            <v>Rozšiřovací rám pro 6 pozic RM-13</v>
          </cell>
          <cell r="C246" t="str">
            <v>Teco</v>
          </cell>
          <cell r="D246">
            <v>4550</v>
          </cell>
        </row>
        <row r="247">
          <cell r="A247" t="str">
            <v>ns950kryt</v>
          </cell>
          <cell r="B247" t="str">
            <v>Kryt prázdné pozice DUM-02</v>
          </cell>
          <cell r="C247" t="str">
            <v>Teco</v>
          </cell>
          <cell r="D247">
            <v>105</v>
          </cell>
        </row>
        <row r="248">
          <cell r="A248" t="str">
            <v>ns950zdroj</v>
          </cell>
          <cell r="B248" t="str">
            <v>Napájecí zdroj  AC-60W/230</v>
          </cell>
          <cell r="C248" t="str">
            <v>Teco</v>
          </cell>
          <cell r="D248">
            <v>5750</v>
          </cell>
        </row>
        <row r="249">
          <cell r="A249" t="str">
            <v>ns950CPM-1D</v>
          </cell>
          <cell r="B249" t="str">
            <v>Centrální jednotka CPM-1D</v>
          </cell>
          <cell r="C249" t="str">
            <v>Teco</v>
          </cell>
          <cell r="D249">
            <v>18900</v>
          </cell>
        </row>
        <row r="250">
          <cell r="A250" t="str">
            <v>ns950eeprom32</v>
          </cell>
          <cell r="B250" t="str">
            <v>Paměť EEPROM 32 kB</v>
          </cell>
          <cell r="C250" t="str">
            <v>Teco</v>
          </cell>
          <cell r="D250">
            <v>490</v>
          </cell>
        </row>
        <row r="251">
          <cell r="A251" t="str">
            <v>ns950</v>
          </cell>
          <cell r="B251" t="str">
            <v>Přídavná jednotka SC-11, rozšíř. sériové kanály</v>
          </cell>
          <cell r="C251" t="str">
            <v>Teco</v>
          </cell>
          <cell r="D251">
            <v>5450</v>
          </cell>
        </row>
        <row r="252">
          <cell r="A252" t="str">
            <v>ns950mr04</v>
          </cell>
          <cell r="B252" t="str">
            <v>Sériové rozhraní MR-04 RS 485 PIGGYBACK</v>
          </cell>
          <cell r="C252" t="str">
            <v>Teco</v>
          </cell>
          <cell r="D252">
            <v>480</v>
          </cell>
        </row>
        <row r="253">
          <cell r="A253" t="str">
            <v>ns950IB48</v>
          </cell>
          <cell r="B253" t="str">
            <v>Vstupní binární jednotka IB-48</v>
          </cell>
          <cell r="C253" t="str">
            <v>Teco</v>
          </cell>
          <cell r="D253">
            <v>7250</v>
          </cell>
        </row>
        <row r="254">
          <cell r="A254" t="str">
            <v>ns950OS27</v>
          </cell>
          <cell r="B254" t="str">
            <v>Výstupní binární jednotka OS-27</v>
          </cell>
          <cell r="C254" t="str">
            <v>Teco</v>
          </cell>
          <cell r="D254">
            <v>9450</v>
          </cell>
        </row>
        <row r="255">
          <cell r="A255" t="str">
            <v>ns950IT04</v>
          </cell>
          <cell r="B255" t="str">
            <v>Analogová jednotka IT-04</v>
          </cell>
          <cell r="C255" t="str">
            <v>Teco</v>
          </cell>
          <cell r="D255">
            <v>12770</v>
          </cell>
        </row>
        <row r="256">
          <cell r="A256" t="str">
            <v>ns950IT15</v>
          </cell>
          <cell r="B256" t="str">
            <v>Analogová jednotka IT-15</v>
          </cell>
          <cell r="C256" t="str">
            <v>Teco</v>
          </cell>
          <cell r="D256">
            <v>7200</v>
          </cell>
        </row>
        <row r="257">
          <cell r="A257" t="str">
            <v>ns950XL45</v>
          </cell>
          <cell r="B257" t="str">
            <v>Externí svorkovnice XL-45</v>
          </cell>
          <cell r="C257" t="str">
            <v>Teco</v>
          </cell>
          <cell r="D257">
            <v>940</v>
          </cell>
        </row>
        <row r="258">
          <cell r="A258" t="str">
            <v>ns950XL45kab</v>
          </cell>
          <cell r="B258" t="str">
            <v>Kabel spojení XL-45..IB48, OS-27, 3m</v>
          </cell>
          <cell r="C258" t="str">
            <v>Teco</v>
          </cell>
          <cell r="D258">
            <v>1350</v>
          </cell>
        </row>
        <row r="259">
          <cell r="A259" t="str">
            <v>ID04</v>
          </cell>
          <cell r="B259" t="str">
            <v>Operátorský panel ID-04, LCD 4x20, RS-232</v>
          </cell>
          <cell r="C259" t="str">
            <v>Teco</v>
          </cell>
          <cell r="D259">
            <v>6900</v>
          </cell>
        </row>
        <row r="260">
          <cell r="A260" t="str">
            <v>ID04kab</v>
          </cell>
          <cell r="B260" t="str">
            <v>Kabel pro ID-04</v>
          </cell>
          <cell r="C260" t="str">
            <v>Teco</v>
          </cell>
          <cell r="D260">
            <v>950</v>
          </cell>
        </row>
        <row r="261">
          <cell r="A261" t="str">
            <v>NS950PCkab</v>
          </cell>
          <cell r="B261" t="str">
            <v>Kabel pro komunikaci </v>
          </cell>
          <cell r="C261" t="str">
            <v>Teco</v>
          </cell>
          <cell r="D261">
            <v>980</v>
          </cell>
        </row>
        <row r="262">
          <cell r="A262" t="str">
            <v>PS25/24</v>
          </cell>
          <cell r="B262" t="str">
            <v>Napájecí zdroj  PS-25/24, 230 VAC/24 VDC, 1 A</v>
          </cell>
          <cell r="C262" t="str">
            <v>Teco</v>
          </cell>
          <cell r="D262">
            <v>1680</v>
          </cell>
        </row>
        <row r="264">
          <cell r="A264" t="str">
            <v>dx2</v>
          </cell>
          <cell r="B264" t="str">
            <v>Regulátor DX 9100 - 8454</v>
          </cell>
          <cell r="C264" t="str">
            <v>Johnson 
Controls</v>
          </cell>
          <cell r="D264">
            <v>47403</v>
          </cell>
        </row>
        <row r="265">
          <cell r="A265" t="str">
            <v>dx2ms</v>
          </cell>
          <cell r="B265" t="str">
            <v>Montážní souprava do panelu</v>
          </cell>
          <cell r="C265" t="str">
            <v>Johnson 
Controls</v>
          </cell>
          <cell r="D265">
            <v>5887</v>
          </cell>
        </row>
        <row r="266">
          <cell r="A266" t="str">
            <v>dxlcd</v>
          </cell>
          <cell r="B266" t="str">
            <v>DX LCD Displej - DT-9100-8004</v>
          </cell>
          <cell r="C266" t="str">
            <v>Johnson 
Controls</v>
          </cell>
          <cell r="D266">
            <v>28000</v>
          </cell>
        </row>
        <row r="267">
          <cell r="B267" t="str">
            <v>Rokytnice</v>
          </cell>
        </row>
        <row r="277">
          <cell r="A277" t="str">
            <v>řs204</v>
          </cell>
          <cell r="B277" t="str">
            <v>Regulátor TR 204</v>
          </cell>
          <cell r="C277" t="str">
            <v>Tecont</v>
          </cell>
          <cell r="D277">
            <v>26500</v>
          </cell>
        </row>
        <row r="278">
          <cell r="A278" t="str">
            <v>řs201</v>
          </cell>
          <cell r="B278" t="str">
            <v>Regulátor TR 201</v>
          </cell>
          <cell r="C278" t="str">
            <v>Tecont</v>
          </cell>
          <cell r="D278">
            <v>19500</v>
          </cell>
        </row>
        <row r="279">
          <cell r="A279" t="str">
            <v>řs203</v>
          </cell>
          <cell r="B279" t="str">
            <v>Regulátor TR 203</v>
          </cell>
          <cell r="C279" t="str">
            <v>Tecont</v>
          </cell>
          <cell r="D279">
            <v>23500</v>
          </cell>
        </row>
        <row r="281">
          <cell r="B281" t="str">
            <v>Software</v>
          </cell>
        </row>
        <row r="282">
          <cell r="A282" t="str">
            <v>řs204sw</v>
          </cell>
          <cell r="B282" t="str">
            <v>Software pro TR204</v>
          </cell>
          <cell r="C282" t="str">
            <v>Energie MaR</v>
          </cell>
          <cell r="D282">
            <v>14000</v>
          </cell>
        </row>
        <row r="283">
          <cell r="A283" t="str">
            <v>řs202sw</v>
          </cell>
          <cell r="B283" t="str">
            <v>Software pro TR202</v>
          </cell>
          <cell r="C283" t="str">
            <v>Energie MaR</v>
          </cell>
          <cell r="D283">
            <v>4400</v>
          </cell>
        </row>
        <row r="284">
          <cell r="A284" t="str">
            <v>řs203sw</v>
          </cell>
          <cell r="B284" t="str">
            <v>Software pro TR203</v>
          </cell>
          <cell r="C284" t="str">
            <v>Energie MaR</v>
          </cell>
          <cell r="D284">
            <v>5600</v>
          </cell>
        </row>
        <row r="285">
          <cell r="A285" t="str">
            <v>řs201swSTO</v>
          </cell>
          <cell r="B285" t="str">
            <v>Software pro TR201</v>
          </cell>
          <cell r="C285" t="str">
            <v>Energie MaR</v>
          </cell>
          <cell r="D285">
            <v>4200</v>
          </cell>
        </row>
        <row r="286">
          <cell r="A286" t="str">
            <v>řs203swSTO+VRS</v>
          </cell>
          <cell r="B286" t="str">
            <v>Software pro TR203</v>
          </cell>
          <cell r="C286" t="str">
            <v>Energie MaR</v>
          </cell>
          <cell r="D286">
            <v>5200</v>
          </cell>
        </row>
        <row r="287">
          <cell r="A287" t="str">
            <v>NS950SW</v>
          </cell>
          <cell r="B287" t="str">
            <v>Software pro NS 950</v>
          </cell>
          <cell r="C287" t="str">
            <v>Energie MaR</v>
          </cell>
          <cell r="D287">
            <v>39000</v>
          </cell>
        </row>
        <row r="288">
          <cell r="A288" t="str">
            <v>DX</v>
          </cell>
          <cell r="B288" t="str">
            <v>Software pro DX 9100</v>
          </cell>
          <cell r="C288" t="str">
            <v>Energie MaR</v>
          </cell>
          <cell r="D288">
            <v>18000</v>
          </cell>
        </row>
        <row r="289">
          <cell r="A289" t="str">
            <v>dt</v>
          </cell>
          <cell r="B289" t="str">
            <v>Software pro DT 9100</v>
          </cell>
          <cell r="C289" t="str">
            <v>Energie MaR</v>
          </cell>
          <cell r="D289">
            <v>6000</v>
          </cell>
        </row>
        <row r="291">
          <cell r="B291" t="str">
            <v>Spojovací části</v>
          </cell>
        </row>
        <row r="292">
          <cell r="A292" t="str">
            <v>jq2x08</v>
          </cell>
          <cell r="B292" t="str">
            <v>JQTQ 2x0,8</v>
          </cell>
          <cell r="C292" t="str">
            <v>Elektram/kab</v>
          </cell>
          <cell r="D292">
            <v>10.7</v>
          </cell>
          <cell r="E292">
            <v>2.5</v>
          </cell>
        </row>
        <row r="293">
          <cell r="A293" t="str">
            <v>jq4x08</v>
          </cell>
          <cell r="B293" t="str">
            <v>JQTQ 4x0,8</v>
          </cell>
          <cell r="C293" t="str">
            <v>Elektram/kab</v>
          </cell>
          <cell r="D293">
            <v>15.7</v>
          </cell>
          <cell r="E293">
            <v>2.5</v>
          </cell>
        </row>
        <row r="294">
          <cell r="A294" t="str">
            <v>j4</v>
          </cell>
          <cell r="B294" t="str">
            <v>JYTY 4x1</v>
          </cell>
          <cell r="C294" t="str">
            <v>Elektram/kab</v>
          </cell>
          <cell r="D294">
            <v>16.1</v>
          </cell>
          <cell r="E294">
            <v>2.5</v>
          </cell>
        </row>
        <row r="295">
          <cell r="A295" t="str">
            <v>j7</v>
          </cell>
          <cell r="B295" t="str">
            <v>JYTY 7x1</v>
          </cell>
          <cell r="C295" t="str">
            <v>Elektram/kab</v>
          </cell>
          <cell r="D295">
            <v>23.6</v>
          </cell>
          <cell r="E295">
            <v>2.5</v>
          </cell>
        </row>
        <row r="296">
          <cell r="A296" t="str">
            <v>cs2x1d</v>
          </cell>
          <cell r="B296" t="str">
            <v>CYSY 2x1D</v>
          </cell>
          <cell r="C296" t="str">
            <v>Elektram/kab</v>
          </cell>
          <cell r="D296">
            <v>6.5</v>
          </cell>
          <cell r="E296">
            <v>2.5</v>
          </cell>
        </row>
        <row r="297">
          <cell r="A297" t="str">
            <v>cs2x1a</v>
          </cell>
          <cell r="B297" t="str">
            <v>CYSY 2x1A</v>
          </cell>
          <cell r="C297" t="str">
            <v>Elektram/kab</v>
          </cell>
          <cell r="D297">
            <v>6.5</v>
          </cell>
          <cell r="E297">
            <v>2.5</v>
          </cell>
        </row>
        <row r="298">
          <cell r="A298" t="str">
            <v>cs3x1a</v>
          </cell>
          <cell r="B298" t="str">
            <v>CYSY 3x1A</v>
          </cell>
          <cell r="C298" t="str">
            <v>Elektram/kab</v>
          </cell>
          <cell r="D298">
            <v>8.5</v>
          </cell>
          <cell r="E298">
            <v>2.5</v>
          </cell>
        </row>
        <row r="299">
          <cell r="A299" t="str">
            <v>cs3x1c</v>
          </cell>
          <cell r="B299" t="str">
            <v>CYSY 3x1C</v>
          </cell>
          <cell r="C299" t="str">
            <v>Elektram/kab</v>
          </cell>
          <cell r="D299">
            <v>8.2</v>
          </cell>
          <cell r="E299">
            <v>2.5</v>
          </cell>
        </row>
        <row r="300">
          <cell r="A300" t="str">
            <v>cs4x1b</v>
          </cell>
          <cell r="B300" t="str">
            <v>CYSY 4x1B</v>
          </cell>
          <cell r="C300" t="str">
            <v>Elektram/kab</v>
          </cell>
          <cell r="D300">
            <v>10.2</v>
          </cell>
          <cell r="E300">
            <v>2.5</v>
          </cell>
        </row>
        <row r="301">
          <cell r="A301" t="str">
            <v>cs4x1c</v>
          </cell>
          <cell r="B301" t="str">
            <v>CYSY 4x1C</v>
          </cell>
          <cell r="C301" t="str">
            <v>Elektram/kab</v>
          </cell>
          <cell r="D301">
            <v>10.2</v>
          </cell>
          <cell r="E301">
            <v>3.5</v>
          </cell>
        </row>
        <row r="302">
          <cell r="A302" t="str">
            <v>cs4x1d</v>
          </cell>
          <cell r="B302" t="str">
            <v>CYSY 4x1D</v>
          </cell>
          <cell r="C302" t="str">
            <v>Elektram/kab</v>
          </cell>
          <cell r="D302">
            <v>10.2</v>
          </cell>
          <cell r="E302">
            <v>2.5</v>
          </cell>
        </row>
        <row r="304">
          <cell r="A304" t="str">
            <v>cs5x1c</v>
          </cell>
          <cell r="B304" t="str">
            <v>CYSY 5x1C</v>
          </cell>
          <cell r="C304" t="str">
            <v>Elektram/kab</v>
          </cell>
          <cell r="D304">
            <v>13</v>
          </cell>
          <cell r="E304">
            <v>2.5</v>
          </cell>
        </row>
        <row r="305">
          <cell r="A305" t="str">
            <v>cs7x1c</v>
          </cell>
          <cell r="B305" t="str">
            <v>CYSY 7x1C</v>
          </cell>
          <cell r="C305" t="str">
            <v>Elektram/kab</v>
          </cell>
          <cell r="D305">
            <v>16.5</v>
          </cell>
          <cell r="E305">
            <v>2.5</v>
          </cell>
        </row>
        <row r="306">
          <cell r="A306" t="str">
            <v>c3x1c</v>
          </cell>
          <cell r="B306" t="str">
            <v>CYKY 3x1,5C</v>
          </cell>
          <cell r="C306" t="str">
            <v>Elektram/kab</v>
          </cell>
          <cell r="D306">
            <v>8.5</v>
          </cell>
          <cell r="E306">
            <v>2.5</v>
          </cell>
        </row>
        <row r="307">
          <cell r="A307" t="str">
            <v>c4x1b</v>
          </cell>
          <cell r="B307" t="str">
            <v>CYKY 4x1,5B</v>
          </cell>
          <cell r="C307" t="str">
            <v>Elektram/kab</v>
          </cell>
          <cell r="D307">
            <v>10.6</v>
          </cell>
          <cell r="E307">
            <v>2.5</v>
          </cell>
        </row>
        <row r="308">
          <cell r="A308" t="str">
            <v>c7x1c</v>
          </cell>
          <cell r="B308" t="str">
            <v>CYKY 7x1,5C</v>
          </cell>
          <cell r="C308" t="str">
            <v>Elektram/kab</v>
          </cell>
          <cell r="D308">
            <v>17.2</v>
          </cell>
          <cell r="E308">
            <v>2.5</v>
          </cell>
        </row>
        <row r="309">
          <cell r="A309" t="str">
            <v>c19x1c</v>
          </cell>
          <cell r="B309" t="str">
            <v>CYKY 19x1,5C</v>
          </cell>
          <cell r="C309" t="str">
            <v>Elektram/kab</v>
          </cell>
          <cell r="D309">
            <v>50.4</v>
          </cell>
          <cell r="E309">
            <v>2.5</v>
          </cell>
        </row>
        <row r="310">
          <cell r="A310" t="str">
            <v>c5x2,5c</v>
          </cell>
          <cell r="B310" t="str">
            <v>CYKY 5x2,5C</v>
          </cell>
          <cell r="C310" t="str">
            <v>Elektram/kab</v>
          </cell>
          <cell r="D310">
            <v>20</v>
          </cell>
          <cell r="E310">
            <v>2.5</v>
          </cell>
        </row>
        <row r="311">
          <cell r="A311" t="str">
            <v>c4x6b</v>
          </cell>
          <cell r="B311" t="str">
            <v>CYKY 4x6B</v>
          </cell>
          <cell r="C311" t="str">
            <v>Elektram/kab</v>
          </cell>
          <cell r="D311">
            <v>34</v>
          </cell>
          <cell r="E311">
            <v>2.5</v>
          </cell>
        </row>
        <row r="313">
          <cell r="A313" t="str">
            <v>sy</v>
          </cell>
          <cell r="B313" t="str">
            <v>SYKFY 5x2x0,5</v>
          </cell>
          <cell r="C313" t="str">
            <v>Elektram/kab</v>
          </cell>
          <cell r="D313">
            <v>8.3</v>
          </cell>
          <cell r="E313">
            <v>2.5</v>
          </cell>
        </row>
        <row r="314">
          <cell r="A314" t="str">
            <v>uk4</v>
          </cell>
          <cell r="B314" t="str">
            <v>Ukončení kabelu do 4x4mm2</v>
          </cell>
          <cell r="C314" t="str">
            <v>Energie MaR</v>
          </cell>
          <cell r="D314">
            <v>0</v>
          </cell>
          <cell r="E314">
            <v>13.2</v>
          </cell>
        </row>
        <row r="315">
          <cell r="A315" t="str">
            <v>uk5</v>
          </cell>
          <cell r="B315" t="str">
            <v>Ukončení kabelu do 5x4mm2</v>
          </cell>
          <cell r="C315" t="str">
            <v>Energie MaR</v>
          </cell>
          <cell r="D315">
            <v>0</v>
          </cell>
          <cell r="E315">
            <v>19.8</v>
          </cell>
        </row>
        <row r="316">
          <cell r="A316" t="str">
            <v>uk7</v>
          </cell>
          <cell r="B316" t="str">
            <v>Ukončení kabelu do 7x4mm3</v>
          </cell>
          <cell r="C316" t="str">
            <v>Energie MaR</v>
          </cell>
          <cell r="D316">
            <v>0</v>
          </cell>
          <cell r="E316">
            <v>25</v>
          </cell>
        </row>
        <row r="317">
          <cell r="A317" t="str">
            <v>uk19</v>
          </cell>
          <cell r="B317" t="str">
            <v>Ukončení kabelu do 19x4mm4</v>
          </cell>
          <cell r="C317" t="str">
            <v>Energie MaR</v>
          </cell>
          <cell r="D317">
            <v>0</v>
          </cell>
          <cell r="E317">
            <v>48</v>
          </cell>
        </row>
        <row r="318">
          <cell r="A318" t="str">
            <v>ukst4</v>
          </cell>
          <cell r="B318" t="str">
            <v>Ukončení stíněného kabelu do 4x1mm2</v>
          </cell>
          <cell r="C318" t="str">
            <v>Energie MaR</v>
          </cell>
          <cell r="D318">
            <v>0</v>
          </cell>
          <cell r="E318">
            <v>32</v>
          </cell>
        </row>
        <row r="319">
          <cell r="A319" t="str">
            <v>žl250x100</v>
          </cell>
          <cell r="B319" t="str">
            <v>Kabelový žlab 250x100 vč. víka</v>
          </cell>
          <cell r="C319" t="str">
            <v>Elektram</v>
          </cell>
          <cell r="D319">
            <v>320</v>
          </cell>
          <cell r="E319">
            <v>46.6</v>
          </cell>
        </row>
        <row r="320">
          <cell r="A320" t="str">
            <v>kžl250x100</v>
          </cell>
          <cell r="B320" t="str">
            <v>Koleno kabelového žlabu 250x100 vč. víka</v>
          </cell>
          <cell r="C320" t="str">
            <v>Elektram</v>
          </cell>
          <cell r="D320">
            <v>270</v>
          </cell>
          <cell r="E320">
            <v>30.5</v>
          </cell>
        </row>
        <row r="321">
          <cell r="A321" t="str">
            <v>tžl250x100</v>
          </cell>
          <cell r="B321" t="str">
            <v>T kus kab. žlabu250x100 vč. víka</v>
          </cell>
          <cell r="C321" t="str">
            <v>Elektram</v>
          </cell>
          <cell r="D321">
            <v>410</v>
          </cell>
          <cell r="E321">
            <v>30.5</v>
          </cell>
        </row>
        <row r="322">
          <cell r="A322" t="str">
            <v>nž250</v>
          </cell>
          <cell r="B322" t="str">
            <v>Nosník kabelového žlabu 250</v>
          </cell>
          <cell r="C322" t="str">
            <v>Elektram</v>
          </cell>
          <cell r="D322">
            <v>37</v>
          </cell>
          <cell r="E322">
            <v>0</v>
          </cell>
        </row>
        <row r="323">
          <cell r="A323" t="str">
            <v>žl125x100</v>
          </cell>
          <cell r="B323" t="str">
            <v>Kabelový žlab 125x100 vč. víka</v>
          </cell>
          <cell r="C323" t="str">
            <v>Elektram</v>
          </cell>
          <cell r="D323">
            <v>180</v>
          </cell>
          <cell r="E323">
            <v>46.6</v>
          </cell>
        </row>
        <row r="324">
          <cell r="A324" t="str">
            <v>kžl125x100</v>
          </cell>
          <cell r="B324" t="str">
            <v>Koleno kabelového žlabu 125x100 vč. víka</v>
          </cell>
          <cell r="C324" t="str">
            <v>Elektram</v>
          </cell>
          <cell r="D324">
            <v>190</v>
          </cell>
          <cell r="E324">
            <v>30.5</v>
          </cell>
        </row>
        <row r="325">
          <cell r="A325" t="str">
            <v>tžl125x100</v>
          </cell>
          <cell r="B325" t="str">
            <v>T kus kab. žlabu125x100 vč. víka</v>
          </cell>
          <cell r="C325" t="str">
            <v>Elektram</v>
          </cell>
          <cell r="D325">
            <v>195</v>
          </cell>
          <cell r="E325">
            <v>30.5</v>
          </cell>
        </row>
        <row r="326">
          <cell r="A326" t="str">
            <v>žl125</v>
          </cell>
          <cell r="B326" t="str">
            <v>Kabelový žlab 125x50 vč. víka</v>
          </cell>
          <cell r="C326" t="str">
            <v>Elektram</v>
          </cell>
          <cell r="D326">
            <v>155</v>
          </cell>
          <cell r="E326">
            <v>46.6</v>
          </cell>
        </row>
        <row r="327">
          <cell r="A327" t="str">
            <v>kžl125</v>
          </cell>
          <cell r="B327" t="str">
            <v>Koleno kabelového žlabu 125x50 vč. víka</v>
          </cell>
          <cell r="C327" t="str">
            <v>Elektram</v>
          </cell>
          <cell r="D327">
            <v>175</v>
          </cell>
          <cell r="E327">
            <v>30.5</v>
          </cell>
        </row>
        <row r="328">
          <cell r="A328" t="str">
            <v>tžl125</v>
          </cell>
          <cell r="B328" t="str">
            <v>T kus kab. žlabu125x50 vč. víka</v>
          </cell>
          <cell r="C328" t="str">
            <v>Elektram</v>
          </cell>
          <cell r="D328">
            <v>182</v>
          </cell>
          <cell r="E328">
            <v>30.5</v>
          </cell>
        </row>
        <row r="329">
          <cell r="A329" t="str">
            <v>nž125</v>
          </cell>
          <cell r="B329" t="str">
            <v>Nosník kabelového žlabu 125</v>
          </cell>
          <cell r="C329" t="str">
            <v>Elektram</v>
          </cell>
          <cell r="D329">
            <v>31</v>
          </cell>
          <cell r="E329">
            <v>0</v>
          </cell>
        </row>
        <row r="330">
          <cell r="A330" t="str">
            <v>sžl100</v>
          </cell>
          <cell r="B330" t="str">
            <v>Spojka kabelového žlabu 100</v>
          </cell>
          <cell r="C330" t="str">
            <v>Elektram</v>
          </cell>
          <cell r="D330">
            <v>4.6</v>
          </cell>
          <cell r="E330">
            <v>0</v>
          </cell>
        </row>
        <row r="331">
          <cell r="A331" t="str">
            <v>žl50</v>
          </cell>
          <cell r="B331" t="str">
            <v>Kabelový žlab 62x50 vč. víka</v>
          </cell>
          <cell r="C331" t="str">
            <v>Elektram</v>
          </cell>
          <cell r="D331">
            <v>105</v>
          </cell>
          <cell r="E331">
            <v>46.6</v>
          </cell>
        </row>
        <row r="332">
          <cell r="A332" t="str">
            <v>kžl50</v>
          </cell>
          <cell r="B332" t="str">
            <v>Koleno kabelového žlabu 62x50 vč. víka</v>
          </cell>
          <cell r="C332" t="str">
            <v>Elektram</v>
          </cell>
          <cell r="D332">
            <v>137</v>
          </cell>
          <cell r="E332">
            <v>30.5</v>
          </cell>
        </row>
        <row r="333">
          <cell r="A333" t="str">
            <v>tžl50</v>
          </cell>
          <cell r="B333" t="str">
            <v>T kus kab. žlabu 62x50 vč. víka</v>
          </cell>
          <cell r="C333" t="str">
            <v>Elektram</v>
          </cell>
          <cell r="D333">
            <v>145.9</v>
          </cell>
          <cell r="E333">
            <v>30.5</v>
          </cell>
        </row>
        <row r="334">
          <cell r="A334" t="str">
            <v>nž62</v>
          </cell>
          <cell r="B334" t="str">
            <v>Nosník kabelového žlabu 62</v>
          </cell>
          <cell r="C334" t="str">
            <v>Elektram</v>
          </cell>
          <cell r="D334">
            <v>15.6</v>
          </cell>
          <cell r="E334">
            <v>0</v>
          </cell>
        </row>
        <row r="335">
          <cell r="A335" t="str">
            <v>sžl62</v>
          </cell>
          <cell r="B335" t="str">
            <v>Spojka kabelového žlabu 62</v>
          </cell>
          <cell r="C335" t="str">
            <v>Elektram</v>
          </cell>
          <cell r="D335">
            <v>2.4</v>
          </cell>
          <cell r="E335">
            <v>0</v>
          </cell>
        </row>
        <row r="336">
          <cell r="A336" t="str">
            <v>PVC16x16</v>
          </cell>
          <cell r="B336" t="str">
            <v>Lišta PVC 16x16 vč. víka</v>
          </cell>
          <cell r="C336" t="str">
            <v>Elektram</v>
          </cell>
          <cell r="D336">
            <v>11</v>
          </cell>
          <cell r="E336">
            <v>6</v>
          </cell>
        </row>
        <row r="337">
          <cell r="A337" t="str">
            <v>PVC40x20</v>
          </cell>
          <cell r="B337" t="str">
            <v>Lišta PVC 40x20 vč. víka</v>
          </cell>
          <cell r="C337" t="str">
            <v>Elektram</v>
          </cell>
          <cell r="D337">
            <v>20</v>
          </cell>
          <cell r="E337">
            <v>7</v>
          </cell>
        </row>
        <row r="338">
          <cell r="A338" t="str">
            <v>PVC40x40</v>
          </cell>
          <cell r="B338" t="str">
            <v>Lišta PVC 40x40 vč. víka</v>
          </cell>
          <cell r="C338" t="str">
            <v>Elektram</v>
          </cell>
          <cell r="D338">
            <v>33</v>
          </cell>
          <cell r="E338">
            <v>8</v>
          </cell>
        </row>
        <row r="339">
          <cell r="A339" t="str">
            <v>PZ13</v>
          </cell>
          <cell r="B339" t="str">
            <v>Pancéřová trubka PZ 13,5</v>
          </cell>
          <cell r="C339" t="str">
            <v>Elektram</v>
          </cell>
          <cell r="D339">
            <v>26.5</v>
          </cell>
          <cell r="E339">
            <v>4.8</v>
          </cell>
        </row>
        <row r="340">
          <cell r="A340" t="str">
            <v>PZ16</v>
          </cell>
          <cell r="B340" t="str">
            <v>Pancéřová trubka PZ 16</v>
          </cell>
          <cell r="C340" t="str">
            <v>Elektram</v>
          </cell>
          <cell r="D340">
            <v>28</v>
          </cell>
          <cell r="E340">
            <v>5</v>
          </cell>
        </row>
        <row r="341">
          <cell r="A341" t="str">
            <v>PZ21</v>
          </cell>
          <cell r="B341" t="str">
            <v>Pancéřová trubka PZ 21</v>
          </cell>
          <cell r="C341" t="str">
            <v>Elektram</v>
          </cell>
          <cell r="D341">
            <v>37</v>
          </cell>
          <cell r="E341">
            <v>8.45</v>
          </cell>
        </row>
        <row r="342">
          <cell r="A342" t="str">
            <v>CY6</v>
          </cell>
          <cell r="B342" t="str">
            <v>Vodič CY 6mm2 ŽZ</v>
          </cell>
          <cell r="C342" t="str">
            <v>Elektram</v>
          </cell>
          <cell r="D342">
            <v>8.9</v>
          </cell>
          <cell r="E342">
            <v>5.2</v>
          </cell>
        </row>
        <row r="343">
          <cell r="A343" t="str">
            <v>Zsv</v>
          </cell>
          <cell r="B343" t="str">
            <v>Zemnící svorky vč. CU pásků</v>
          </cell>
          <cell r="C343" t="str">
            <v>Elektram</v>
          </cell>
          <cell r="D343">
            <v>11</v>
          </cell>
          <cell r="E343">
            <v>4.5</v>
          </cell>
        </row>
        <row r="344">
          <cell r="A344" t="str">
            <v>H</v>
          </cell>
          <cell r="B344" t="str">
            <v>Upevňovací bod hmoždinkou</v>
          </cell>
          <cell r="C344" t="str">
            <v>Energie MaR</v>
          </cell>
          <cell r="D344">
            <v>4.5</v>
          </cell>
          <cell r="E344">
            <v>2.1</v>
          </cell>
        </row>
        <row r="345">
          <cell r="A345" t="str">
            <v>Jokl</v>
          </cell>
          <cell r="B345" t="str">
            <v>Profil Jokl 35x35 (perforovaný)</v>
          </cell>
          <cell r="C345" t="str">
            <v>ostatní</v>
          </cell>
          <cell r="D345">
            <v>45</v>
          </cell>
          <cell r="E345">
            <v>46</v>
          </cell>
        </row>
        <row r="346">
          <cell r="A346" t="str">
            <v>Přesun</v>
          </cell>
          <cell r="B346" t="str">
            <v>Přesun hmot</v>
          </cell>
          <cell r="C346" t="str">
            <v>ostatní</v>
          </cell>
          <cell r="E346">
            <v>120</v>
          </cell>
        </row>
        <row r="347">
          <cell r="A347" t="str">
            <v>propkrab</v>
          </cell>
          <cell r="B347" t="str">
            <v>Propojovací krabice na kotlích</v>
          </cell>
          <cell r="C347" t="str">
            <v>Energie MaR</v>
          </cell>
          <cell r="E347">
            <v>180</v>
          </cell>
        </row>
        <row r="349">
          <cell r="B349" t="str">
            <v>Formulář Slavkov</v>
          </cell>
        </row>
        <row r="350">
          <cell r="B350" t="str">
            <v>Odporový snímač teploty venkovní
NS 111.65
rozsah -30°C až 100°C
obj. č. 01 200 200</v>
          </cell>
          <cell r="C350" t="str">
            <v>SENSIT
Rožnov p. R.</v>
          </cell>
          <cell r="D350">
            <v>714</v>
          </cell>
          <cell r="E350">
            <v>19</v>
          </cell>
        </row>
        <row r="351">
          <cell r="B351" t="str">
            <v>Odporový snímač teploty do potrubí
NS 131.65 - 100
rozsah -30°C až 250°C
obj. č. 01 610 200</v>
          </cell>
          <cell r="C351" t="str">
            <v>SENSIT
Rožnov p. R.</v>
          </cell>
          <cell r="D351">
            <v>930</v>
          </cell>
          <cell r="E351">
            <v>19</v>
          </cell>
        </row>
        <row r="352">
          <cell r="B352" t="str">
            <v>Odporový snímač teploty prostorový
NS 101.30
rozsah -30°C až 100°C
obj. č. 01 100 200</v>
          </cell>
          <cell r="C352" t="str">
            <v>SENSIT
Rožnov p. R.</v>
          </cell>
          <cell r="D352">
            <v>432</v>
          </cell>
          <cell r="E352">
            <v>19</v>
          </cell>
        </row>
        <row r="353">
          <cell r="B353" t="str">
            <v>Směšovací ventil 3G25, DN25, PN 6
s el. pohonem ESBE 62P, řízený 0-10V</v>
          </cell>
          <cell r="C353" t="str">
            <v>Eko-Ekviterm </v>
          </cell>
          <cell r="D353">
            <v>4890</v>
          </cell>
          <cell r="E353">
            <v>50</v>
          </cell>
        </row>
        <row r="354">
          <cell r="B354" t="str">
            <v>Směšovací ventil 3G32, DN32 PN 6
s el. pohonem ESBE 62P, řízený 0-10V</v>
          </cell>
          <cell r="C354" t="str">
            <v>Eko-Ekviterm </v>
          </cell>
          <cell r="D354">
            <v>4950</v>
          </cell>
          <cell r="E354">
            <v>50</v>
          </cell>
        </row>
        <row r="355">
          <cell r="B355" t="str">
            <v>Směšovací ventil 3G40, DN40, PN 6
s el. pohonem ESBE 62P, řízený 0-10V</v>
          </cell>
          <cell r="C355" t="str">
            <v>Eko-Ekviterm </v>
          </cell>
          <cell r="D355">
            <v>5070</v>
          </cell>
          <cell r="E355">
            <v>50</v>
          </cell>
        </row>
        <row r="356">
          <cell r="B356" t="str">
            <v>Směšovací ventil 3G50, DN50, PN 6
s el. pohonem ESBE 62P, řízený 0-10V</v>
          </cell>
          <cell r="C356" t="str">
            <v>Eko-Ekviterm </v>
          </cell>
          <cell r="D356">
            <v>5840</v>
          </cell>
          <cell r="E356">
            <v>50</v>
          </cell>
        </row>
        <row r="357">
          <cell r="B357" t="str">
            <v>Oběhové čerpadlo top .vody
3 x 380/220 V</v>
          </cell>
          <cell r="D357">
            <v>0</v>
          </cell>
          <cell r="E357">
            <v>60</v>
          </cell>
        </row>
        <row r="358">
          <cell r="B358" t="str">
            <v>Odporový snímač teploty do potrubí
NS 131.65 - 220
rozsah -30°C až 250°C
obj. č. 01 630 200</v>
          </cell>
          <cell r="C358" t="str">
            <v>SENSIT
Rožnov p. R.</v>
          </cell>
          <cell r="D358">
            <v>978</v>
          </cell>
          <cell r="E358">
            <v>19</v>
          </cell>
        </row>
        <row r="359">
          <cell r="B359" t="str">
            <v>Příložné odporové čidlo
NS 141.65
rozsah 0°C až 130°C
obj. Č. 01 700 200</v>
          </cell>
          <cell r="C359" t="str">
            <v>SENSIT
Rožnov p. R.</v>
          </cell>
          <cell r="D359">
            <v>750</v>
          </cell>
          <cell r="E359">
            <v>19</v>
          </cell>
        </row>
        <row r="360">
          <cell r="B360" t="str">
            <v>Kulový kohout Giacomini DN 25, PN 25
s el. pohonem PPN2 20.04.07.20/230VAC
se sig. SO,SZ, bez vysílače</v>
          </cell>
          <cell r="C360" t="str">
            <v>Ekorex
Nová Paka</v>
          </cell>
          <cell r="D360">
            <v>3860</v>
          </cell>
          <cell r="E360">
            <v>50</v>
          </cell>
        </row>
        <row r="361">
          <cell r="B361" t="str">
            <v>Kulový kohout Giacomini DN 32, PN 25
s el. pohonem PPN2 35.04.07.20/230VAC
se sig. SO,SZ, bez vysílače</v>
          </cell>
          <cell r="C361" t="str">
            <v>Ekorex
Nová Paka</v>
          </cell>
          <cell r="D361">
            <v>4070</v>
          </cell>
          <cell r="E361">
            <v>50</v>
          </cell>
        </row>
        <row r="362">
          <cell r="B362" t="str">
            <v>Kulový kohout Giacomini DN 40, PN 25
s el. pohonem PPN2 65.04.07.00/230VAC
se sig. SO,SZ, bez vysílače</v>
          </cell>
          <cell r="C362" t="str">
            <v>Ekorex
Nová Paka</v>
          </cell>
          <cell r="D362">
            <v>7790</v>
          </cell>
          <cell r="E362">
            <v>50</v>
          </cell>
        </row>
        <row r="363">
          <cell r="B363" t="str">
            <v>Kulový kohout Giacomini DN 50, PN25
s el. pohonem PPN2 65.04.07.00/230VAC
se sig. SO,SZ, bez vysílače</v>
          </cell>
          <cell r="C363" t="str">
            <v>Ekorex
Nová Paka</v>
          </cell>
          <cell r="D363">
            <v>7980</v>
          </cell>
          <cell r="E363">
            <v>50</v>
          </cell>
        </row>
        <row r="364">
          <cell r="B364" t="str">
            <v>Dvoucestný elektromagnetický ventil DN 20
typ EVPE 2020.01, 220 VAC</v>
          </cell>
          <cell r="C364" t="str">
            <v>PEVEKO
Boršice u B.</v>
          </cell>
          <cell r="D364">
            <v>1200</v>
          </cell>
          <cell r="E364">
            <v>50</v>
          </cell>
        </row>
        <row r="365">
          <cell r="B365" t="str">
            <v>Dvoucestný elektromagnetický ventil DN 30 
typ EVPE 2030.01, 220 VAC</v>
          </cell>
          <cell r="C365" t="str">
            <v>PEVEKO
Boršice u B.</v>
          </cell>
          <cell r="D365">
            <v>1600</v>
          </cell>
          <cell r="E365">
            <v>50</v>
          </cell>
        </row>
        <row r="366">
          <cell r="B366" t="str">
            <v>Dvoucestný elektromagnetický ventil DN 40 
typ EVPE 2040.01, 220 VAC</v>
          </cell>
          <cell r="C366" t="str">
            <v>PEVEKO
Boršice u B.</v>
          </cell>
          <cell r="D366">
            <v>1900</v>
          </cell>
          <cell r="E366">
            <v>50</v>
          </cell>
        </row>
        <row r="367">
          <cell r="B367" t="str">
            <v>Cirkulační čerpadlo TUV
220 VAC</v>
          </cell>
          <cell r="E367">
            <v>40</v>
          </cell>
        </row>
        <row r="368">
          <cell r="B368" t="str">
            <v>Cirkulační čerpadlo TUV
3 x 380/220 VAC</v>
          </cell>
          <cell r="E368">
            <v>60</v>
          </cell>
        </row>
        <row r="369">
          <cell r="B369" t="str">
            <v>Nabíjecí čerpadlo TUV
220 VAC</v>
          </cell>
          <cell r="E369">
            <v>40</v>
          </cell>
        </row>
        <row r="370">
          <cell r="D370" t="str">
            <v>celkem</v>
          </cell>
        </row>
        <row r="372">
          <cell r="B372" t="str">
            <v>Rozvaděč RD2</v>
          </cell>
        </row>
        <row r="373">
          <cell r="B373" t="str">
            <v>Rozvaděčová skříň WS 5625 Schrack</v>
          </cell>
          <cell r="C373" t="str">
            <v>Schrack</v>
          </cell>
          <cell r="D373">
            <v>4100</v>
          </cell>
          <cell r="E373">
            <v>350</v>
          </cell>
        </row>
        <row r="374">
          <cell r="B374" t="str">
            <v>vývodka GP 9</v>
          </cell>
          <cell r="C374" t="str">
            <v>Elektram</v>
          </cell>
          <cell r="D374">
            <v>5</v>
          </cell>
        </row>
        <row r="375">
          <cell r="B375" t="str">
            <v>vývodka GP 11</v>
          </cell>
          <cell r="C375" t="str">
            <v>Elektram</v>
          </cell>
          <cell r="D375">
            <v>5.3</v>
          </cell>
        </row>
        <row r="376">
          <cell r="B376" t="str">
            <v>vývodka GP 13.5</v>
          </cell>
          <cell r="C376" t="str">
            <v>Elektram</v>
          </cell>
          <cell r="D376">
            <v>5.6</v>
          </cell>
        </row>
        <row r="377">
          <cell r="B377" t="str">
            <v>Indikační svítidlo HDS-95 G/R</v>
          </cell>
          <cell r="C377" t="str">
            <v>Eleco</v>
          </cell>
          <cell r="D377">
            <v>119</v>
          </cell>
        </row>
        <row r="378">
          <cell r="B378" t="str">
            <v>Stiskací hlavice černá T10A</v>
          </cell>
          <cell r="C378" t="str">
            <v>Groupe-Schneider</v>
          </cell>
          <cell r="D378">
            <v>54</v>
          </cell>
        </row>
        <row r="379">
          <cell r="B379" t="str">
            <v>Ovládací hlavice trojpolohová T10 B ČE</v>
          </cell>
          <cell r="C379" t="str">
            <v>Groupe-Schneider</v>
          </cell>
          <cell r="D379">
            <v>69</v>
          </cell>
        </row>
        <row r="380">
          <cell r="B380" t="str">
            <v>Ovládací hlavice dvojpolohová T10 G ČE </v>
          </cell>
          <cell r="C380" t="str">
            <v>Groupe-Schneider</v>
          </cell>
          <cell r="D380">
            <v>67</v>
          </cell>
        </row>
        <row r="381">
          <cell r="B381" t="str">
            <v>Přepínací jednotka T10 Z 111 Z</v>
          </cell>
          <cell r="C381" t="str">
            <v>Groupe-Schneider</v>
          </cell>
          <cell r="D381">
            <v>51</v>
          </cell>
        </row>
        <row r="382">
          <cell r="B382" t="str">
            <v>Spínací jednotka T10 Z 011 Y</v>
          </cell>
          <cell r="C382" t="str">
            <v>Groupe-Schneider</v>
          </cell>
          <cell r="D382">
            <v>43</v>
          </cell>
        </row>
        <row r="383">
          <cell r="B383" t="str">
            <v>Spojovací díl T10 SD 3</v>
          </cell>
          <cell r="C383" t="str">
            <v>Groupe-Schneider</v>
          </cell>
          <cell r="D383">
            <v>5.5</v>
          </cell>
        </row>
        <row r="384">
          <cell r="B384" t="str">
            <v>Hlavní vypínač 3f/16A</v>
          </cell>
          <cell r="C384" t="str">
            <v>Končar</v>
          </cell>
          <cell r="D384">
            <v>343</v>
          </cell>
        </row>
        <row r="385">
          <cell r="B385" t="str">
            <v>Jednopólový jistič LSN 0,4A/K</v>
          </cell>
          <cell r="C385" t="str">
            <v>OEZ Letohrad</v>
          </cell>
          <cell r="D385">
            <v>200</v>
          </cell>
        </row>
        <row r="386">
          <cell r="B386" t="str">
            <v>Jednopólový jistič Schrack 4A/C</v>
          </cell>
          <cell r="C386" t="str">
            <v>Schrack</v>
          </cell>
          <cell r="D386">
            <v>159</v>
          </cell>
        </row>
        <row r="387">
          <cell r="B387" t="str">
            <v>Jednopólový jistič Schrack 6A/C</v>
          </cell>
          <cell r="C387" t="str">
            <v>Schrack</v>
          </cell>
          <cell r="D387">
            <v>124</v>
          </cell>
        </row>
        <row r="388">
          <cell r="B388" t="str">
            <v>Třípólový jistič Schrack 2A/C</v>
          </cell>
          <cell r="C388" t="str">
            <v>Schrack</v>
          </cell>
          <cell r="D388">
            <v>398</v>
          </cell>
        </row>
        <row r="389">
          <cell r="B389" t="str">
            <v>Třípólový jistič Schrack 2A/C</v>
          </cell>
          <cell r="C389" t="str">
            <v>Schrack</v>
          </cell>
          <cell r="D389">
            <v>398</v>
          </cell>
        </row>
        <row r="390">
          <cell r="B390" t="str">
            <v>Pomocný spínač 1Z+1R</v>
          </cell>
          <cell r="C390" t="str">
            <v>Schrack</v>
          </cell>
          <cell r="D390">
            <v>150</v>
          </cell>
        </row>
        <row r="391">
          <cell r="B391" t="str">
            <v>Stykač 3.f. 24VAC/LC1/LLC2-K06</v>
          </cell>
          <cell r="C391" t="str">
            <v>Groupe-Schneider</v>
          </cell>
          <cell r="D391">
            <v>210</v>
          </cell>
        </row>
        <row r="392">
          <cell r="B392" t="str">
            <v>Relé 2.párové RT II/2 464 524 Schrack</v>
          </cell>
          <cell r="C392" t="str">
            <v>Schrack</v>
          </cell>
          <cell r="D392">
            <v>145</v>
          </cell>
        </row>
        <row r="393">
          <cell r="B393" t="str">
            <v>Patice 2.párové RP 78 625 Schrack</v>
          </cell>
          <cell r="C393" t="str">
            <v>Schrack</v>
          </cell>
          <cell r="D393">
            <v>120</v>
          </cell>
        </row>
        <row r="394">
          <cell r="B394" t="str">
            <v>Limitér analogových signálů LT1-1a</v>
          </cell>
          <cell r="C394" t="str">
            <v>DA Ostrava</v>
          </cell>
          <cell r="D394">
            <v>1675</v>
          </cell>
        </row>
        <row r="395">
          <cell r="B395" t="str">
            <v>Zdroj bezpečného napětí 230VAC/24VAC 75W</v>
          </cell>
          <cell r="C395" t="str">
            <v>Comel</v>
          </cell>
          <cell r="D395">
            <v>341</v>
          </cell>
        </row>
        <row r="396">
          <cell r="B396" t="str">
            <v>Světelná zásuvka 230VAC/10A na DIN lištu</v>
          </cell>
          <cell r="C396" t="str">
            <v>Comel</v>
          </cell>
          <cell r="D396">
            <v>125</v>
          </cell>
        </row>
        <row r="397">
          <cell r="B397" t="str">
            <v>Přepěťová ochrana na datové vedení DTR1/12</v>
          </cell>
          <cell r="C397" t="str">
            <v>HAKEL</v>
          </cell>
          <cell r="D397">
            <v>1200</v>
          </cell>
        </row>
        <row r="398">
          <cell r="B398" t="str">
            <v>Přepěťová ochrana s vf. Filtrem PI-K4</v>
          </cell>
          <cell r="C398" t="str">
            <v>HAKEL</v>
          </cell>
          <cell r="D398">
            <v>2500</v>
          </cell>
        </row>
        <row r="399">
          <cell r="B399" t="str">
            <v>Svorka řadová - šedá M2,5</v>
          </cell>
          <cell r="C399" t="str">
            <v>Entrelec</v>
          </cell>
          <cell r="D399">
            <v>12</v>
          </cell>
        </row>
        <row r="400">
          <cell r="B400" t="str">
            <v>Svorka řadová - světle modrá M2,5</v>
          </cell>
          <cell r="C400" t="str">
            <v>Entrelec</v>
          </cell>
          <cell r="D400">
            <v>13</v>
          </cell>
        </row>
        <row r="401">
          <cell r="B401" t="str">
            <v>Svorka řadová - žlutozelená M2,5</v>
          </cell>
          <cell r="C401" t="str">
            <v>Entrelec</v>
          </cell>
          <cell r="D401">
            <v>44</v>
          </cell>
        </row>
        <row r="402">
          <cell r="B402" t="str">
            <v>Svorka rozjišťovací M4/8SF</v>
          </cell>
          <cell r="C402" t="str">
            <v>Entrelec</v>
          </cell>
          <cell r="D402">
            <v>49</v>
          </cell>
        </row>
        <row r="403">
          <cell r="B403" t="str">
            <v>Štítky rozvaděče</v>
          </cell>
          <cell r="C403" t="str">
            <v>ostatní</v>
          </cell>
          <cell r="D403">
            <v>15</v>
          </cell>
        </row>
        <row r="404">
          <cell r="B404" t="str">
            <v>Vodiče rozvaděče</v>
          </cell>
          <cell r="C404" t="str">
            <v>ostatní</v>
          </cell>
          <cell r="D404">
            <v>8</v>
          </cell>
        </row>
        <row r="405">
          <cell r="B405" t="str">
            <v>Ostatní materiál</v>
          </cell>
          <cell r="C405" t="str">
            <v>ostatní</v>
          </cell>
          <cell r="D405">
            <v>400</v>
          </cell>
        </row>
        <row r="406">
          <cell r="B406" t="str">
            <v>Montáž rozvaděče</v>
          </cell>
          <cell r="D406">
            <v>120</v>
          </cell>
        </row>
        <row r="407">
          <cell r="D407" t="str">
            <v>celkem</v>
          </cell>
        </row>
        <row r="409">
          <cell r="B409" t="str">
            <v>Řídící systém</v>
          </cell>
        </row>
        <row r="410">
          <cell r="B410" t="str">
            <v>Regulátor DX 9100 - 8154</v>
          </cell>
          <cell r="C410" t="str">
            <v>Johnson 
Controls</v>
          </cell>
          <cell r="D410">
            <v>35549</v>
          </cell>
        </row>
        <row r="411">
          <cell r="D411" t="str">
            <v>celkem</v>
          </cell>
        </row>
        <row r="413">
          <cell r="B413" t="str">
            <v>Spojovací části</v>
          </cell>
        </row>
        <row r="414">
          <cell r="B414" t="str">
            <v>JQTQ 2x0,8</v>
          </cell>
          <cell r="C414" t="str">
            <v>Elektram/kab</v>
          </cell>
          <cell r="D414">
            <v>10.7</v>
          </cell>
          <cell r="E414">
            <v>2.5</v>
          </cell>
        </row>
        <row r="415">
          <cell r="B415" t="str">
            <v>JQTQ 4x0,8</v>
          </cell>
          <cell r="C415" t="str">
            <v>Elektram/kab</v>
          </cell>
          <cell r="D415">
            <v>15.7</v>
          </cell>
          <cell r="E415">
            <v>2.5</v>
          </cell>
        </row>
        <row r="416">
          <cell r="B416" t="str">
            <v>JYTY 4x1</v>
          </cell>
          <cell r="C416" t="str">
            <v>Elektram/kab</v>
          </cell>
          <cell r="D416">
            <v>16.1</v>
          </cell>
          <cell r="E416">
            <v>2.5</v>
          </cell>
        </row>
        <row r="417">
          <cell r="B417" t="str">
            <v>CYSY 2x1A</v>
          </cell>
          <cell r="C417" t="str">
            <v>Elektram/kab</v>
          </cell>
          <cell r="D417">
            <v>6.5</v>
          </cell>
          <cell r="E417">
            <v>2.5</v>
          </cell>
        </row>
        <row r="418">
          <cell r="B418" t="str">
            <v>CYSY 3x1C</v>
          </cell>
          <cell r="C418" t="str">
            <v>Elektram/kab</v>
          </cell>
          <cell r="D418">
            <v>8.2</v>
          </cell>
          <cell r="E418">
            <v>2.5</v>
          </cell>
        </row>
        <row r="419">
          <cell r="B419" t="str">
            <v>CYSY 4x1B</v>
          </cell>
          <cell r="C419" t="str">
            <v>Elektram/kab</v>
          </cell>
          <cell r="D419">
            <v>10.2</v>
          </cell>
          <cell r="E419">
            <v>2.5</v>
          </cell>
        </row>
        <row r="420">
          <cell r="B420" t="str">
            <v>CYSY 5x1C</v>
          </cell>
          <cell r="C420" t="str">
            <v>Elektram/kab</v>
          </cell>
          <cell r="D420">
            <v>13</v>
          </cell>
          <cell r="E420">
            <v>2.5</v>
          </cell>
        </row>
        <row r="421">
          <cell r="B421" t="str">
            <v>CYKY 4x1B</v>
          </cell>
          <cell r="C421" t="str">
            <v>Elektram/kab</v>
          </cell>
          <cell r="D421">
            <v>10.6</v>
          </cell>
          <cell r="E421">
            <v>2.5</v>
          </cell>
        </row>
        <row r="422">
          <cell r="B422" t="str">
            <v>CYKY 5x2,5C</v>
          </cell>
          <cell r="C422" t="str">
            <v>Elektram/kab</v>
          </cell>
          <cell r="D422">
            <v>20</v>
          </cell>
          <cell r="E422">
            <v>2.5</v>
          </cell>
        </row>
        <row r="423">
          <cell r="B423" t="str">
            <v>SYKFY 5x2x0,5</v>
          </cell>
          <cell r="C423" t="str">
            <v>Elektram/kab</v>
          </cell>
          <cell r="D423">
            <v>8.3</v>
          </cell>
          <cell r="E423">
            <v>2.5</v>
          </cell>
        </row>
        <row r="424">
          <cell r="B424" t="str">
            <v>Ukončení kabelu do 4x4mm2</v>
          </cell>
          <cell r="D424">
            <v>0</v>
          </cell>
          <cell r="E424">
            <v>13.2</v>
          </cell>
        </row>
        <row r="425">
          <cell r="B425" t="str">
            <v>Ukončení kabelu do 5x4mm2</v>
          </cell>
          <cell r="D425">
            <v>0</v>
          </cell>
          <cell r="E425">
            <v>19.8</v>
          </cell>
        </row>
        <row r="426">
          <cell r="B426" t="str">
            <v>Ukončení stíněného kabelu do 4x1mm2</v>
          </cell>
          <cell r="D426">
            <v>0</v>
          </cell>
          <cell r="E426">
            <v>32</v>
          </cell>
        </row>
        <row r="427">
          <cell r="B427" t="str">
            <v>Kabelový žlab 62x50 vč. víka</v>
          </cell>
          <cell r="C427" t="str">
            <v>Elektram</v>
          </cell>
          <cell r="D427">
            <v>105</v>
          </cell>
          <cell r="E427">
            <v>46.6</v>
          </cell>
        </row>
        <row r="428">
          <cell r="B428" t="str">
            <v>Koleno kabelového žlabu 62x50 vč. víka</v>
          </cell>
          <cell r="C428" t="str">
            <v>Elektram</v>
          </cell>
          <cell r="D428">
            <v>137</v>
          </cell>
          <cell r="E428">
            <v>30.5</v>
          </cell>
        </row>
        <row r="429">
          <cell r="B429" t="str">
            <v>T kus kab. žlabu 62x50 vč. víka</v>
          </cell>
          <cell r="C429" t="str">
            <v>Elektram</v>
          </cell>
          <cell r="D429">
            <v>145.9</v>
          </cell>
          <cell r="E429">
            <v>30.5</v>
          </cell>
        </row>
        <row r="430">
          <cell r="B430" t="str">
            <v>Nosník kabelového žlabu 62</v>
          </cell>
          <cell r="C430" t="str">
            <v>Elektram</v>
          </cell>
          <cell r="D430">
            <v>15.6</v>
          </cell>
          <cell r="E430">
            <v>0</v>
          </cell>
        </row>
        <row r="431">
          <cell r="B431" t="str">
            <v>Spojka kabelového žlabu 62</v>
          </cell>
          <cell r="C431" t="str">
            <v>Elektram</v>
          </cell>
          <cell r="D431">
            <v>2.4</v>
          </cell>
          <cell r="E431">
            <v>0</v>
          </cell>
        </row>
        <row r="432">
          <cell r="B432" t="str">
            <v>Lišta PVC 16x16 vč. víka</v>
          </cell>
          <cell r="C432" t="str">
            <v>Elektram</v>
          </cell>
          <cell r="D432">
            <v>11</v>
          </cell>
          <cell r="E432">
            <v>6</v>
          </cell>
        </row>
        <row r="433">
          <cell r="B433" t="str">
            <v>Lišta PVC 40x20 vč. víka</v>
          </cell>
          <cell r="C433" t="str">
            <v>Elektram</v>
          </cell>
          <cell r="D433">
            <v>20</v>
          </cell>
          <cell r="E433">
            <v>7</v>
          </cell>
        </row>
        <row r="434">
          <cell r="B434" t="str">
            <v>Lišta PVC 40x40 vč. víka</v>
          </cell>
          <cell r="C434" t="str">
            <v>Elektram</v>
          </cell>
          <cell r="D434">
            <v>33</v>
          </cell>
          <cell r="E434">
            <v>8</v>
          </cell>
        </row>
        <row r="435">
          <cell r="B435" t="str">
            <v>Pancéřová trubka PZ 13,5</v>
          </cell>
          <cell r="C435" t="str">
            <v>Elektram</v>
          </cell>
          <cell r="D435">
            <v>26.5</v>
          </cell>
          <cell r="E435">
            <v>4.8</v>
          </cell>
        </row>
        <row r="436">
          <cell r="B436" t="str">
            <v>Pancéřová trubka PZ 16</v>
          </cell>
          <cell r="C436" t="str">
            <v>Elektram</v>
          </cell>
          <cell r="D436">
            <v>28</v>
          </cell>
          <cell r="E436">
            <v>5</v>
          </cell>
        </row>
        <row r="437">
          <cell r="B437" t="str">
            <v>Pancéřová trubka PZ 21</v>
          </cell>
          <cell r="C437" t="str">
            <v>Elektram</v>
          </cell>
          <cell r="D437">
            <v>37</v>
          </cell>
          <cell r="E437">
            <v>8.45</v>
          </cell>
        </row>
        <row r="438">
          <cell r="B438" t="str">
            <v>Vodič CY 6mm2 ŽZ</v>
          </cell>
          <cell r="C438" t="str">
            <v>Elektram</v>
          </cell>
          <cell r="D438">
            <v>8.9</v>
          </cell>
          <cell r="E438">
            <v>5.2</v>
          </cell>
        </row>
        <row r="439">
          <cell r="B439" t="str">
            <v>Zemnící svorky vč. CU pásků</v>
          </cell>
          <cell r="C439" t="str">
            <v>Elektram</v>
          </cell>
          <cell r="D439">
            <v>11</v>
          </cell>
          <cell r="E439">
            <v>4.5</v>
          </cell>
        </row>
        <row r="440">
          <cell r="B440" t="str">
            <v>Upevňovací bod hmoždinkou</v>
          </cell>
          <cell r="D440">
            <v>4.5</v>
          </cell>
          <cell r="E440">
            <v>2.1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  <sheetName val="Paramet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  <sheetData sheetId="1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  <sheetName val="Paramet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  <sheetData sheetId="1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Úprava faktury"/>
      <sheetName val="Faktura"/>
      <sheetName val="Makra"/>
      <sheetName val="ATW"/>
      <sheetName val="Zámek"/>
      <sheetName val="TemplateInformation"/>
    </sheetNames>
    <sheetDataSet>
      <sheetData sheetId="0" refreshError="1"/>
      <sheetData sheetId="1" refreshError="1">
        <row r="21">
          <cell r="E21">
            <v>0.05</v>
          </cell>
        </row>
        <row r="22">
          <cell r="E22">
            <v>0.22</v>
          </cell>
        </row>
        <row r="23">
          <cell r="D23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chel_DT2"/>
      <sheetName val="schel_DT1"/>
      <sheetName val="schel_rozp"/>
      <sheetName val="SchEl_rozp_z"/>
      <sheetName val="OP VZP_rozp"/>
      <sheetName val="DATA"/>
      <sheetName val="dodav"/>
      <sheetName val="schel_montáž"/>
      <sheetName val="ŽLABY"/>
      <sheetName val="cesana_nab_z"/>
      <sheetName val="Module1"/>
      <sheetName val="ČD Choceň rozp_z"/>
      <sheetName val="SchEl_Lanskrounrozp_z"/>
      <sheetName val="Cesana_montáž (2)"/>
      <sheetName val="odemčený"/>
      <sheetName val="cesana_nab"/>
      <sheetName val="ZS, VR"/>
      <sheetName val="Budova"/>
      <sheetName val="Venky"/>
      <sheetName val="SO 01 - 06 ELEKTROINSTALAC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B1" t="str">
            <v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Komextherm</v>
          </cell>
          <cell r="C6">
            <v>0</v>
          </cell>
          <cell r="D6">
            <v>0.12</v>
          </cell>
        </row>
        <row r="7">
          <cell r="B7" t="str">
            <v>Merlin&amp;G</v>
          </cell>
          <cell r="C7">
            <v>0</v>
          </cell>
          <cell r="D7">
            <v>0.05</v>
          </cell>
        </row>
        <row r="8">
          <cell r="B8" t="str">
            <v>mm</v>
          </cell>
          <cell r="C8">
            <v>0</v>
          </cell>
          <cell r="D8">
            <v>0.08</v>
          </cell>
        </row>
        <row r="9">
          <cell r="B9" t="str">
            <v>stáv.</v>
          </cell>
          <cell r="C9">
            <v>0</v>
          </cell>
          <cell r="D9">
            <v>0</v>
          </cell>
        </row>
        <row r="10">
          <cell r="B10" t="str">
            <v>stroj.dod.</v>
          </cell>
          <cell r="C10">
            <v>0</v>
          </cell>
          <cell r="D10">
            <v>0</v>
          </cell>
        </row>
        <row r="11">
          <cell r="B11" t="str">
            <v>E</v>
          </cell>
          <cell r="C11">
            <v>0</v>
          </cell>
          <cell r="D11">
            <v>0</v>
          </cell>
        </row>
        <row r="12">
          <cell r="B12" t="str">
            <v>JC</v>
          </cell>
          <cell r="C12">
            <v>0.3</v>
          </cell>
          <cell r="D12">
            <v>0.1</v>
          </cell>
        </row>
        <row r="13">
          <cell r="B13" t="str">
            <v>ZPA Nová Paka</v>
          </cell>
          <cell r="C13">
            <v>0.15</v>
          </cell>
          <cell r="D13">
            <v>0.15</v>
          </cell>
        </row>
        <row r="14">
          <cell r="B14" t="str">
            <v>BD Sensors</v>
          </cell>
          <cell r="C14">
            <v>0.1</v>
          </cell>
          <cell r="D14">
            <v>0.15</v>
          </cell>
        </row>
        <row r="15">
          <cell r="B15" t="str">
            <v>CLAUHAN
Brno</v>
          </cell>
          <cell r="C15">
            <v>0</v>
          </cell>
          <cell r="D15">
            <v>0.3</v>
          </cell>
        </row>
        <row r="16">
          <cell r="B16" t="str">
            <v>Comel</v>
          </cell>
          <cell r="C16">
            <v>0</v>
          </cell>
          <cell r="D16">
            <v>0.15</v>
          </cell>
        </row>
        <row r="17">
          <cell r="B17" t="str">
            <v>DA Ostrava</v>
          </cell>
          <cell r="C17">
            <v>0</v>
          </cell>
          <cell r="D17">
            <v>0.15</v>
          </cell>
        </row>
        <row r="18">
          <cell r="B18" t="str">
            <v>dodávka 
investora</v>
          </cell>
          <cell r="C18">
            <v>0</v>
          </cell>
          <cell r="D18">
            <v>0</v>
          </cell>
        </row>
        <row r="19">
          <cell r="B19" t="str">
            <v>Eko-Ekviterm </v>
          </cell>
          <cell r="C19">
            <v>0.1</v>
          </cell>
          <cell r="D19">
            <v>0.15</v>
          </cell>
        </row>
        <row r="20">
          <cell r="B20" t="str">
            <v>Ekorex+
Nová Paka</v>
          </cell>
          <cell r="C20">
            <v>0.17</v>
          </cell>
          <cell r="D20">
            <v>0.21</v>
          </cell>
        </row>
        <row r="21">
          <cell r="B21" t="str">
            <v>Eleco</v>
          </cell>
          <cell r="C21">
            <v>0</v>
          </cell>
          <cell r="D21">
            <v>0.17</v>
          </cell>
        </row>
        <row r="22">
          <cell r="B22" t="str">
            <v>Elektram</v>
          </cell>
          <cell r="C22">
            <v>0</v>
          </cell>
          <cell r="D22">
            <v>0.15</v>
          </cell>
        </row>
        <row r="23">
          <cell r="B23" t="str">
            <v>Elektram/kab</v>
          </cell>
          <cell r="C23">
            <v>0</v>
          </cell>
          <cell r="D23">
            <v>0.08</v>
          </cell>
        </row>
        <row r="24">
          <cell r="B24" t="str">
            <v>Elektropřístroj
Písek</v>
          </cell>
          <cell r="C24">
            <v>0</v>
          </cell>
          <cell r="D24">
            <v>0.15</v>
          </cell>
        </row>
        <row r="25">
          <cell r="B25" t="str">
            <v>EP Písek</v>
          </cell>
          <cell r="C25">
            <v>0</v>
          </cell>
          <cell r="D25">
            <v>0.15</v>
          </cell>
        </row>
        <row r="26">
          <cell r="B26" t="str">
            <v>ENERGIE MaR</v>
          </cell>
          <cell r="C26">
            <v>0</v>
          </cell>
          <cell r="D26">
            <v>0.05</v>
          </cell>
        </row>
        <row r="27">
          <cell r="B27" t="str">
            <v>Entrelec</v>
          </cell>
          <cell r="C27">
            <v>0</v>
          </cell>
          <cell r="D27">
            <v>0.15</v>
          </cell>
        </row>
        <row r="28">
          <cell r="B28" t="str">
            <v>EO Pardubice</v>
          </cell>
          <cell r="C28">
            <v>0</v>
          </cell>
          <cell r="D28">
            <v>0.15</v>
          </cell>
        </row>
        <row r="29">
          <cell r="B29" t="str">
            <v>ERAB</v>
          </cell>
          <cell r="C29">
            <v>0</v>
          </cell>
          <cell r="D29">
            <v>0.15</v>
          </cell>
        </row>
        <row r="30">
          <cell r="B30" t="str">
            <v>F&amp;G</v>
          </cell>
          <cell r="C30">
            <v>0</v>
          </cell>
          <cell r="D30">
            <v>0.15</v>
          </cell>
        </row>
        <row r="31">
          <cell r="B31" t="str">
            <v>Groupe-
Schneider</v>
          </cell>
          <cell r="C31">
            <v>0</v>
          </cell>
          <cell r="D31">
            <v>0.15</v>
          </cell>
        </row>
        <row r="32">
          <cell r="B32" t="str">
            <v>HAKEL</v>
          </cell>
          <cell r="C32">
            <v>0</v>
          </cell>
          <cell r="D32">
            <v>0.25</v>
          </cell>
        </row>
        <row r="33">
          <cell r="B33" t="str">
            <v>Johnson 
Controls</v>
          </cell>
          <cell r="C33">
            <v>0</v>
          </cell>
          <cell r="D33">
            <v>0</v>
          </cell>
        </row>
        <row r="34">
          <cell r="B34" t="str">
            <v>Končar</v>
          </cell>
          <cell r="C34">
            <v>0</v>
          </cell>
          <cell r="D34">
            <v>0.15</v>
          </cell>
        </row>
        <row r="35">
          <cell r="B35" t="str">
            <v>LDM 
Č. Třebová</v>
          </cell>
          <cell r="C35">
            <v>0.23</v>
          </cell>
          <cell r="D35">
            <v>0.15</v>
          </cell>
        </row>
        <row r="36">
          <cell r="B36" t="str">
            <v>MARTECH
Hradec Králové</v>
          </cell>
          <cell r="C36">
            <v>0</v>
          </cell>
          <cell r="D36">
            <v>0.15</v>
          </cell>
        </row>
        <row r="37">
          <cell r="B37" t="str">
            <v>OEZ Letohrad</v>
          </cell>
          <cell r="C37">
            <v>0</v>
          </cell>
          <cell r="D37">
            <v>0.15</v>
          </cell>
        </row>
        <row r="38">
          <cell r="B38" t="str">
            <v>ostatní</v>
          </cell>
          <cell r="C38">
            <v>0</v>
          </cell>
          <cell r="D38">
            <v>0.05</v>
          </cell>
        </row>
        <row r="39">
          <cell r="B39" t="str">
            <v>PEVEKO
Boršice u B.</v>
          </cell>
          <cell r="C39">
            <v>0.1</v>
          </cell>
          <cell r="D39">
            <v>0.15</v>
          </cell>
        </row>
        <row r="40">
          <cell r="B40" t="str">
            <v>Remagg
Vyškov</v>
          </cell>
          <cell r="C40">
            <v>0</v>
          </cell>
          <cell r="D40">
            <v>0.15</v>
          </cell>
        </row>
        <row r="41">
          <cell r="B41" t="str">
            <v>SENSIT
Rožnov p. R.</v>
          </cell>
          <cell r="C41">
            <v>0</v>
          </cell>
          <cell r="D41">
            <v>0.15</v>
          </cell>
        </row>
        <row r="42">
          <cell r="B42" t="str">
            <v>Schrack</v>
          </cell>
          <cell r="C42">
            <v>0</v>
          </cell>
          <cell r="D42">
            <v>0.15</v>
          </cell>
        </row>
        <row r="43">
          <cell r="B43" t="str">
            <v>stávající</v>
          </cell>
          <cell r="C43">
            <v>0</v>
          </cell>
          <cell r="D43">
            <v>0</v>
          </cell>
        </row>
        <row r="44">
          <cell r="B44" t="str">
            <v>strojní
dodávka</v>
          </cell>
          <cell r="C44">
            <v>0</v>
          </cell>
          <cell r="D44">
            <v>0</v>
          </cell>
        </row>
        <row r="45">
          <cell r="B45" t="str">
            <v>Teco</v>
          </cell>
          <cell r="C45">
            <v>0.1</v>
          </cell>
          <cell r="D45">
            <v>0.12</v>
          </cell>
        </row>
        <row r="46">
          <cell r="B46" t="str">
            <v>Tecont</v>
          </cell>
          <cell r="C46">
            <v>0.18</v>
          </cell>
          <cell r="D46">
            <v>0.15</v>
          </cell>
        </row>
        <row r="47">
          <cell r="B47" t="str">
            <v>výroba roz.</v>
          </cell>
          <cell r="C47">
            <v>0</v>
          </cell>
          <cell r="D47">
            <v>0</v>
          </cell>
        </row>
        <row r="48">
          <cell r="B48" t="str">
            <v>ZPA Ekoreg
Ústí n/L</v>
          </cell>
          <cell r="C48">
            <v>0.1</v>
          </cell>
          <cell r="D48">
            <v>0.15</v>
          </cell>
        </row>
        <row r="49">
          <cell r="B49" t="str">
            <v>ZPA
Nová Paka</v>
          </cell>
          <cell r="C49">
            <v>0.15</v>
          </cell>
          <cell r="D49">
            <v>0.18</v>
          </cell>
        </row>
        <row r="50">
          <cell r="B50" t="str">
            <v>JSP
Nová Paka</v>
          </cell>
          <cell r="C50">
            <v>0.1</v>
          </cell>
          <cell r="D50">
            <v>0.2</v>
          </cell>
        </row>
        <row r="51">
          <cell r="B51" t="str">
            <v>ZPA Prešov</v>
          </cell>
          <cell r="C51">
            <v>0</v>
          </cell>
          <cell r="D51">
            <v>0.15</v>
          </cell>
        </row>
        <row r="52">
          <cell r="B52" t="str">
            <v>Ekorex Lázně
Bohdaneč</v>
          </cell>
          <cell r="C52">
            <v>0.15</v>
          </cell>
          <cell r="D52">
            <v>0.15</v>
          </cell>
        </row>
        <row r="53">
          <cell r="B53" t="str">
            <v>Raab Karcher</v>
          </cell>
          <cell r="C53">
            <v>0.36</v>
          </cell>
          <cell r="D53">
            <v>0.25</v>
          </cell>
        </row>
        <row r="54">
          <cell r="B54" t="str">
            <v>Axima</v>
          </cell>
          <cell r="C54">
            <v>0</v>
          </cell>
          <cell r="D54">
            <v>0.15</v>
          </cell>
        </row>
        <row r="55">
          <cell r="B55" t="str">
            <v>Merlin&amp;G</v>
          </cell>
          <cell r="C55">
            <v>0</v>
          </cell>
          <cell r="D55">
            <v>0.16</v>
          </cell>
        </row>
        <row r="56">
          <cell r="B56" t="str">
            <v>MaR Plus</v>
          </cell>
          <cell r="C56">
            <v>0</v>
          </cell>
          <cell r="D56">
            <v>0.3</v>
          </cell>
        </row>
        <row r="57">
          <cell r="B57" t="str">
            <v>ZPA Pečky</v>
          </cell>
          <cell r="C57">
            <v>0</v>
          </cell>
          <cell r="D57">
            <v>0.15</v>
          </cell>
        </row>
        <row r="58">
          <cell r="B58" t="str">
            <v>EESA
Lomnice n.P.</v>
          </cell>
          <cell r="C58">
            <v>0</v>
          </cell>
          <cell r="D58">
            <v>0.15</v>
          </cell>
        </row>
        <row r="59">
          <cell r="B59" t="str">
            <v>REMAG trade</v>
          </cell>
          <cell r="C59">
            <v>0</v>
          </cell>
          <cell r="D59">
            <v>0.12</v>
          </cell>
        </row>
        <row r="60">
          <cell r="B60" t="str">
            <v>LOGITRON</v>
          </cell>
          <cell r="C60">
            <v>0</v>
          </cell>
          <cell r="D60">
            <v>0.15</v>
          </cell>
        </row>
        <row r="61">
          <cell r="B61" t="str">
            <v>MIWA Praha</v>
          </cell>
          <cell r="C61">
            <v>0</v>
          </cell>
          <cell r="D61">
            <v>0.15</v>
          </cell>
        </row>
        <row r="62">
          <cell r="B62" t="str">
            <v>EIG Praha</v>
          </cell>
          <cell r="C62">
            <v>0</v>
          </cell>
          <cell r="D62">
            <v>0.15</v>
          </cell>
        </row>
        <row r="63">
          <cell r="B63" t="str">
            <v>Honeywell</v>
          </cell>
          <cell r="C63">
            <v>0</v>
          </cell>
          <cell r="D63">
            <v>0</v>
          </cell>
        </row>
        <row r="64">
          <cell r="B64" t="str">
            <v>TERMS
Č. Budějovice</v>
          </cell>
          <cell r="C64">
            <v>0</v>
          </cell>
          <cell r="D64">
            <v>0.15</v>
          </cell>
        </row>
        <row r="65">
          <cell r="B65" t="str">
            <v>Transformátory
Blatná</v>
          </cell>
          <cell r="C65">
            <v>0</v>
          </cell>
          <cell r="D65">
            <v>0.15</v>
          </cell>
        </row>
        <row r="66">
          <cell r="B66" t="str">
            <v>Bola</v>
          </cell>
          <cell r="C66">
            <v>0</v>
          </cell>
          <cell r="D66">
            <v>0.15</v>
          </cell>
        </row>
        <row r="67">
          <cell r="B67" t="str">
            <v>BOLA-Siemens1</v>
          </cell>
          <cell r="C67">
            <v>0.15</v>
          </cell>
          <cell r="D67">
            <v>0.1</v>
          </cell>
        </row>
        <row r="68">
          <cell r="B68" t="str">
            <v>BOLA pohony</v>
          </cell>
          <cell r="C68">
            <v>0.5</v>
          </cell>
          <cell r="D68">
            <v>0.12</v>
          </cell>
        </row>
        <row r="69">
          <cell r="B69" t="str">
            <v>BOLA pohony</v>
          </cell>
          <cell r="C69">
            <v>0.5</v>
          </cell>
          <cell r="D69">
            <v>0.12</v>
          </cell>
        </row>
        <row r="70">
          <cell r="B70" t="str">
            <v>BELIMO kul.k.</v>
          </cell>
          <cell r="C70">
            <v>0.5</v>
          </cell>
          <cell r="D70">
            <v>0.12</v>
          </cell>
        </row>
        <row r="71">
          <cell r="B71" t="str">
            <v>BOLA-ESBE</v>
          </cell>
          <cell r="C71">
            <v>0.05</v>
          </cell>
          <cell r="D71">
            <v>0.1</v>
          </cell>
        </row>
        <row r="72">
          <cell r="B72" t="str">
            <v>J.T.O. System</v>
          </cell>
          <cell r="C72">
            <v>0.05</v>
          </cell>
          <cell r="D72">
            <v>0.15</v>
          </cell>
        </row>
        <row r="73">
          <cell r="B73" t="str">
            <v>X</v>
          </cell>
          <cell r="C73">
            <v>0</v>
          </cell>
          <cell r="D73">
            <v>0</v>
          </cell>
        </row>
        <row r="74">
          <cell r="B74" t="str">
            <v>XX</v>
          </cell>
          <cell r="C74">
            <v>0</v>
          </cell>
          <cell r="D74">
            <v>0</v>
          </cell>
        </row>
        <row r="75">
          <cell r="B75" t="str">
            <v>CATV Olomouc</v>
          </cell>
          <cell r="C75">
            <v>0</v>
          </cell>
          <cell r="D75">
            <v>0.12</v>
          </cell>
        </row>
        <row r="76">
          <cell r="B76" t="str">
            <v>el-servis
Spálovský</v>
          </cell>
          <cell r="C76">
            <v>0</v>
          </cell>
          <cell r="D76">
            <v>0.15</v>
          </cell>
        </row>
        <row r="77">
          <cell r="B77" t="str">
            <v>Danfoss</v>
          </cell>
          <cell r="C77">
            <v>0</v>
          </cell>
          <cell r="D77">
            <v>0.12</v>
          </cell>
        </row>
        <row r="78">
          <cell r="B78" t="str">
            <v>Remak
Trade a.s.</v>
          </cell>
          <cell r="C78">
            <v>0</v>
          </cell>
          <cell r="D78">
            <v>0.15</v>
          </cell>
        </row>
        <row r="79">
          <cell r="B79" t="str">
            <v>Landis &amp; Staefa</v>
          </cell>
          <cell r="C79">
            <v>0.3</v>
          </cell>
          <cell r="D79">
            <v>0.15</v>
          </cell>
        </row>
        <row r="80">
          <cell r="B80" t="str">
            <v>AutoCont</v>
          </cell>
          <cell r="C80">
            <v>0</v>
          </cell>
          <cell r="D80">
            <v>0.08</v>
          </cell>
        </row>
        <row r="81">
          <cell r="B81" t="str">
            <v>M+D</v>
          </cell>
          <cell r="C81">
            <v>0</v>
          </cell>
          <cell r="D81">
            <v>0.15</v>
          </cell>
        </row>
        <row r="82">
          <cell r="B82" t="str">
            <v>FINDER</v>
          </cell>
          <cell r="C82">
            <v>0</v>
          </cell>
          <cell r="D82">
            <v>0.15</v>
          </cell>
        </row>
        <row r="83">
          <cell r="B83" t="str">
            <v>RAMI cz s.r.o.</v>
          </cell>
          <cell r="C83">
            <v>0</v>
          </cell>
          <cell r="D83">
            <v>0.15</v>
          </cell>
        </row>
        <row r="84">
          <cell r="B84" t="str">
            <v>XXX</v>
          </cell>
          <cell r="C84">
            <v>0</v>
          </cell>
          <cell r="D84">
            <v>0.15</v>
          </cell>
        </row>
        <row r="85">
          <cell r="B85" t="str">
            <v>MAVE &amp; spol.</v>
          </cell>
          <cell r="C85">
            <v>0</v>
          </cell>
          <cell r="D85">
            <v>0.15</v>
          </cell>
        </row>
        <row r="86">
          <cell r="B86" t="str">
            <v>rozv</v>
          </cell>
          <cell r="C86">
            <v>0</v>
          </cell>
          <cell r="D86">
            <v>0</v>
          </cell>
        </row>
        <row r="87">
          <cell r="B87" t="str">
            <v>ZPA CZ Trutnov</v>
          </cell>
          <cell r="C87">
            <v>0</v>
          </cell>
          <cell r="D87">
            <v>0.08</v>
          </cell>
        </row>
        <row r="88">
          <cell r="B88" t="str">
            <v>SALTEK</v>
          </cell>
          <cell r="C88">
            <v>0</v>
          </cell>
          <cell r="D88">
            <v>0.15</v>
          </cell>
        </row>
        <row r="89">
          <cell r="B89" t="str">
            <v>BELIMO CZ</v>
          </cell>
          <cell r="C89">
            <v>0</v>
          </cell>
          <cell r="D89">
            <v>0.15</v>
          </cell>
        </row>
        <row r="90">
          <cell r="B90" t="str">
            <v>M&amp;D ELEKTRO</v>
          </cell>
          <cell r="C90">
            <v>0</v>
          </cell>
          <cell r="D90">
            <v>0.15</v>
          </cell>
        </row>
        <row r="91">
          <cell r="B91" t="str">
            <v>REGMET</v>
          </cell>
          <cell r="C91">
            <v>0.08</v>
          </cell>
          <cell r="D91">
            <v>0.15</v>
          </cell>
        </row>
        <row r="92">
          <cell r="B92" t="str">
            <v>ENBRA</v>
          </cell>
          <cell r="C92">
            <v>0</v>
          </cell>
          <cell r="D92">
            <v>0.15</v>
          </cell>
        </row>
        <row r="93">
          <cell r="B93" t="str">
            <v>AVOS
automation</v>
          </cell>
          <cell r="C93">
            <v>0</v>
          </cell>
          <cell r="D93">
            <v>0.15</v>
          </cell>
        </row>
        <row r="94">
          <cell r="B94" t="str">
            <v>Luka systém</v>
          </cell>
          <cell r="C94">
            <v>0</v>
          </cell>
          <cell r="D94">
            <v>0.15</v>
          </cell>
        </row>
        <row r="95">
          <cell r="B95" t="str">
            <v>PRO-REG</v>
          </cell>
          <cell r="C95">
            <v>0</v>
          </cell>
          <cell r="D95">
            <v>0.15</v>
          </cell>
        </row>
        <row r="96">
          <cell r="B96" t="str">
            <v>Eberle</v>
          </cell>
          <cell r="C96">
            <v>0</v>
          </cell>
          <cell r="D96">
            <v>0.15</v>
          </cell>
        </row>
        <row r="97">
          <cell r="B97" t="str">
            <v>Landis &amp; Staefa_S</v>
          </cell>
          <cell r="C97">
            <v>0.25</v>
          </cell>
          <cell r="D97">
            <v>0.09</v>
          </cell>
        </row>
        <row r="98">
          <cell r="B98" t="str">
            <v>BOLA-AM TECHNIC LINE</v>
          </cell>
          <cell r="C98">
            <v>0.1</v>
          </cell>
          <cell r="D98">
            <v>0.12</v>
          </cell>
        </row>
        <row r="99">
          <cell r="B99" t="str">
            <v>BOLA-HUBA</v>
          </cell>
          <cell r="C99">
            <v>0.1</v>
          </cell>
          <cell r="D99">
            <v>0.12</v>
          </cell>
        </row>
        <row r="100">
          <cell r="B100" t="str">
            <v>BOLA-ALCO</v>
          </cell>
          <cell r="C100">
            <v>0.11</v>
          </cell>
          <cell r="D100">
            <v>0.12</v>
          </cell>
        </row>
        <row r="101">
          <cell r="B101" t="str">
            <v>KROHNE</v>
          </cell>
          <cell r="C101">
            <v>0</v>
          </cell>
          <cell r="D101">
            <v>0.08</v>
          </cell>
        </row>
        <row r="102">
          <cell r="B102" t="str">
            <v>SENTRON CZ</v>
          </cell>
          <cell r="C102">
            <v>0</v>
          </cell>
          <cell r="D102">
            <v>0.15</v>
          </cell>
        </row>
        <row r="103">
          <cell r="B103" t="str">
            <v>DMS</v>
          </cell>
          <cell r="C103">
            <v>0</v>
          </cell>
          <cell r="D103">
            <v>0.05</v>
          </cell>
        </row>
        <row r="104">
          <cell r="B104" t="str">
            <v>Sauter</v>
          </cell>
          <cell r="C104">
            <v>0.2</v>
          </cell>
          <cell r="D104">
            <v>0.15</v>
          </cell>
        </row>
        <row r="105">
          <cell r="B105" t="str">
            <v>rozv</v>
          </cell>
          <cell r="C105">
            <v>0</v>
          </cell>
          <cell r="D105">
            <v>0</v>
          </cell>
        </row>
        <row r="106">
          <cell r="B106" t="str">
            <v>AMiT</v>
          </cell>
          <cell r="C106">
            <v>0.12</v>
          </cell>
          <cell r="D106">
            <v>0.05</v>
          </cell>
        </row>
        <row r="107">
          <cell r="B107" t="str">
            <v>ABB</v>
          </cell>
          <cell r="C107">
            <v>0.2</v>
          </cell>
          <cell r="D107">
            <v>0</v>
          </cell>
        </row>
        <row r="108">
          <cell r="B108" t="str">
            <v>Augusta elektra</v>
          </cell>
          <cell r="C108">
            <v>0.05</v>
          </cell>
          <cell r="D108">
            <v>0.15</v>
          </cell>
        </row>
        <row r="109">
          <cell r="B109" t="str">
            <v>Aseko</v>
          </cell>
          <cell r="C109">
            <v>0.05</v>
          </cell>
          <cell r="D109">
            <v>0.12</v>
          </cell>
        </row>
        <row r="110">
          <cell r="B110" t="str">
            <v>Armagas</v>
          </cell>
          <cell r="C110">
            <v>0</v>
          </cell>
          <cell r="D110">
            <v>0.12</v>
          </cell>
        </row>
        <row r="111">
          <cell r="B111" t="str">
            <v>Micropel</v>
          </cell>
          <cell r="C111">
            <v>0</v>
          </cell>
          <cell r="D111">
            <v>0.08</v>
          </cell>
        </row>
        <row r="112">
          <cell r="B112" t="str">
            <v>ABB Elektro</v>
          </cell>
          <cell r="C112">
            <v>0</v>
          </cell>
          <cell r="D112">
            <v>0.1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ozv-BA1"/>
      <sheetName val="rozv-BA2"/>
      <sheetName val="rozv-BA3"/>
      <sheetName val="rozv-BA4"/>
      <sheetName val="CPS HK_montáž"/>
      <sheetName val="CPS HK-rozp"/>
      <sheetName val="CPS HK-rozp_z"/>
      <sheetName val="DATA"/>
      <sheetName val="dodav"/>
      <sheetName val="SO 01 - 06 ELEKTROINSTALACE"/>
      <sheetName val="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Merlin&amp;G</v>
          </cell>
          <cell r="C6">
            <v>0</v>
          </cell>
          <cell r="D6">
            <v>0.05</v>
          </cell>
        </row>
        <row r="7">
          <cell r="B7" t="str">
            <v>mm</v>
          </cell>
          <cell r="C7">
            <v>0</v>
          </cell>
          <cell r="D7">
            <v>0.08</v>
          </cell>
        </row>
        <row r="8">
          <cell r="B8" t="str">
            <v>stáv.</v>
          </cell>
          <cell r="C8">
            <v>0</v>
          </cell>
          <cell r="D8">
            <v>0</v>
          </cell>
        </row>
        <row r="9">
          <cell r="B9" t="str">
            <v>stroj.dod.</v>
          </cell>
          <cell r="C9">
            <v>0</v>
          </cell>
          <cell r="D9">
            <v>0</v>
          </cell>
        </row>
        <row r="10">
          <cell r="B10" t="str">
            <v>E</v>
          </cell>
          <cell r="C10">
            <v>0</v>
          </cell>
          <cell r="D10">
            <v>0</v>
          </cell>
        </row>
        <row r="11">
          <cell r="B11" t="str">
            <v>JC</v>
          </cell>
          <cell r="C11">
            <v>0.3</v>
          </cell>
          <cell r="D11">
            <v>0.1</v>
          </cell>
        </row>
        <row r="12">
          <cell r="B12" t="str">
            <v>ZPA Nová Paka</v>
          </cell>
          <cell r="C12">
            <v>0.15</v>
          </cell>
          <cell r="D12">
            <v>0.15</v>
          </cell>
        </row>
        <row r="13">
          <cell r="B13" t="str">
            <v>BD Sensors</v>
          </cell>
          <cell r="C13">
            <v>0.12</v>
          </cell>
          <cell r="D13">
            <v>0.12</v>
          </cell>
        </row>
        <row r="14">
          <cell r="B14" t="str">
            <v>CLAUHAN
Brno</v>
          </cell>
          <cell r="C14">
            <v>0</v>
          </cell>
          <cell r="D14">
            <v>0.3</v>
          </cell>
        </row>
        <row r="15">
          <cell r="B15" t="str">
            <v>Comel</v>
          </cell>
          <cell r="C15">
            <v>0</v>
          </cell>
          <cell r="D15">
            <v>0.15</v>
          </cell>
        </row>
        <row r="16">
          <cell r="B16" t="str">
            <v>DA Ostrava</v>
          </cell>
          <cell r="C16">
            <v>0</v>
          </cell>
          <cell r="D16">
            <v>0.15</v>
          </cell>
        </row>
        <row r="17">
          <cell r="B17" t="str">
            <v>dodávka 
investora</v>
          </cell>
          <cell r="C17">
            <v>0</v>
          </cell>
          <cell r="D17">
            <v>0</v>
          </cell>
        </row>
        <row r="18">
          <cell r="B18" t="str">
            <v>Eko-Ekviterm </v>
          </cell>
          <cell r="C18">
            <v>0.1</v>
          </cell>
          <cell r="D18">
            <v>0.15</v>
          </cell>
        </row>
        <row r="19">
          <cell r="B19" t="str">
            <v>Ekorex+
Nová Paka</v>
          </cell>
          <cell r="C19">
            <v>0.17</v>
          </cell>
          <cell r="D19">
            <v>0.21</v>
          </cell>
        </row>
        <row r="20">
          <cell r="B20" t="str">
            <v>Eleco</v>
          </cell>
          <cell r="C20">
            <v>0</v>
          </cell>
          <cell r="D20">
            <v>0.17</v>
          </cell>
        </row>
        <row r="21">
          <cell r="B21" t="str">
            <v>Elektram</v>
          </cell>
          <cell r="C21">
            <v>0</v>
          </cell>
          <cell r="D21">
            <v>0.15</v>
          </cell>
        </row>
        <row r="22">
          <cell r="B22" t="str">
            <v>Elektram/kab</v>
          </cell>
          <cell r="C22">
            <v>0</v>
          </cell>
          <cell r="D22">
            <v>0.08</v>
          </cell>
        </row>
        <row r="23">
          <cell r="B23" t="str">
            <v>Elektropřístroj
Písek</v>
          </cell>
          <cell r="C23">
            <v>0</v>
          </cell>
          <cell r="D23">
            <v>0.15</v>
          </cell>
        </row>
        <row r="24">
          <cell r="B24" t="str">
            <v>EP Písek</v>
          </cell>
          <cell r="C24">
            <v>0</v>
          </cell>
          <cell r="D24">
            <v>0.15</v>
          </cell>
        </row>
        <row r="25">
          <cell r="B25" t="str">
            <v>ENERGIE MaR</v>
          </cell>
          <cell r="C25">
            <v>0</v>
          </cell>
          <cell r="D25">
            <v>0</v>
          </cell>
        </row>
        <row r="26">
          <cell r="B26" t="str">
            <v>Entrelec</v>
          </cell>
          <cell r="C26">
            <v>0</v>
          </cell>
          <cell r="D26">
            <v>0.15</v>
          </cell>
        </row>
        <row r="27">
          <cell r="B27" t="str">
            <v>EO Pardubice</v>
          </cell>
          <cell r="C27">
            <v>0</v>
          </cell>
          <cell r="D27">
            <v>0.15</v>
          </cell>
        </row>
        <row r="28">
          <cell r="B28" t="str">
            <v>ERAB</v>
          </cell>
          <cell r="C28">
            <v>0</v>
          </cell>
          <cell r="D28">
            <v>0.15</v>
          </cell>
        </row>
        <row r="29">
          <cell r="B29" t="str">
            <v>F&amp;G</v>
          </cell>
          <cell r="C29">
            <v>0</v>
          </cell>
          <cell r="D29">
            <v>0.15</v>
          </cell>
        </row>
        <row r="30">
          <cell r="B30" t="str">
            <v>Groupe-
Schneider</v>
          </cell>
          <cell r="C30">
            <v>0</v>
          </cell>
          <cell r="D30">
            <v>0.15</v>
          </cell>
        </row>
        <row r="31">
          <cell r="B31" t="str">
            <v>HAKEL</v>
          </cell>
          <cell r="C31">
            <v>0</v>
          </cell>
          <cell r="D31">
            <v>0.25</v>
          </cell>
        </row>
        <row r="32">
          <cell r="B32" t="str">
            <v>Johnson 
Controls</v>
          </cell>
          <cell r="C32">
            <v>0</v>
          </cell>
          <cell r="D32">
            <v>0</v>
          </cell>
        </row>
        <row r="33">
          <cell r="B33" t="str">
            <v>Končar</v>
          </cell>
          <cell r="C33">
            <v>0</v>
          </cell>
          <cell r="D33">
            <v>0.15</v>
          </cell>
        </row>
        <row r="34">
          <cell r="B34" t="str">
            <v>LDM 
Č. Třebová</v>
          </cell>
          <cell r="C34">
            <v>0.23</v>
          </cell>
          <cell r="D34">
            <v>0.15</v>
          </cell>
        </row>
        <row r="35">
          <cell r="B35" t="str">
            <v>MARTECH
Hradec Králové</v>
          </cell>
          <cell r="C35">
            <v>0</v>
          </cell>
          <cell r="D35">
            <v>0.15</v>
          </cell>
        </row>
        <row r="36">
          <cell r="B36" t="str">
            <v>OEZ Letohrad</v>
          </cell>
          <cell r="C36">
            <v>0</v>
          </cell>
          <cell r="D36">
            <v>0.15</v>
          </cell>
        </row>
        <row r="37">
          <cell r="B37" t="str">
            <v>ostatní</v>
          </cell>
          <cell r="C37">
            <v>0</v>
          </cell>
          <cell r="D37">
            <v>0</v>
          </cell>
        </row>
        <row r="38">
          <cell r="B38" t="str">
            <v>PEVEKO
Boršice u B.</v>
          </cell>
          <cell r="C38">
            <v>0.1</v>
          </cell>
          <cell r="D38">
            <v>0.15</v>
          </cell>
        </row>
        <row r="39">
          <cell r="B39" t="str">
            <v>PEVEKO</v>
          </cell>
          <cell r="C39">
            <v>0.1</v>
          </cell>
          <cell r="D39">
            <v>0.15</v>
          </cell>
        </row>
        <row r="40">
          <cell r="B40" t="str">
            <v>Remagg
Vyškov</v>
          </cell>
          <cell r="C40">
            <v>0</v>
          </cell>
          <cell r="D40">
            <v>0.15</v>
          </cell>
        </row>
        <row r="41">
          <cell r="B41" t="str">
            <v>SENSIT
Rožnov p. R.</v>
          </cell>
          <cell r="C41">
            <v>0</v>
          </cell>
          <cell r="D41">
            <v>0.15</v>
          </cell>
        </row>
        <row r="42">
          <cell r="B42" t="str">
            <v>Schrack</v>
          </cell>
          <cell r="C42">
            <v>0</v>
          </cell>
          <cell r="D42">
            <v>0.15</v>
          </cell>
        </row>
        <row r="43">
          <cell r="B43" t="str">
            <v>stávající</v>
          </cell>
          <cell r="C43">
            <v>0</v>
          </cell>
          <cell r="D43">
            <v>0</v>
          </cell>
        </row>
        <row r="44">
          <cell r="B44" t="str">
            <v>strojní
dodávka</v>
          </cell>
          <cell r="C44">
            <v>0</v>
          </cell>
          <cell r="D44">
            <v>0</v>
          </cell>
        </row>
        <row r="45">
          <cell r="B45" t="str">
            <v>Teco</v>
          </cell>
          <cell r="C45">
            <v>0.1</v>
          </cell>
          <cell r="D45">
            <v>0.12</v>
          </cell>
        </row>
        <row r="46">
          <cell r="B46" t="str">
            <v>Tecont</v>
          </cell>
          <cell r="C46">
            <v>0.18</v>
          </cell>
          <cell r="D46">
            <v>0.15</v>
          </cell>
        </row>
        <row r="47">
          <cell r="B47" t="str">
            <v>výroba roz.</v>
          </cell>
          <cell r="C47">
            <v>0</v>
          </cell>
          <cell r="D47">
            <v>0</v>
          </cell>
        </row>
        <row r="48">
          <cell r="B48" t="str">
            <v>ZPA Ekoreg
Ústí n/L</v>
          </cell>
          <cell r="C48">
            <v>0.1</v>
          </cell>
          <cell r="D48">
            <v>0.15</v>
          </cell>
        </row>
        <row r="49">
          <cell r="B49" t="str">
            <v>ZPA Ekoreg</v>
          </cell>
          <cell r="C49">
            <v>0.1</v>
          </cell>
          <cell r="D49">
            <v>0.15</v>
          </cell>
        </row>
        <row r="50">
          <cell r="B50" t="str">
            <v>ZPA
Nová Paka</v>
          </cell>
          <cell r="C50">
            <v>0.15</v>
          </cell>
          <cell r="D50">
            <v>0.18</v>
          </cell>
        </row>
        <row r="51">
          <cell r="B51" t="str">
            <v>JSP
Nová Paka</v>
          </cell>
          <cell r="C51">
            <v>0.1</v>
          </cell>
          <cell r="D51">
            <v>0.2</v>
          </cell>
        </row>
        <row r="52">
          <cell r="B52" t="str">
            <v>JSP N.P.</v>
          </cell>
          <cell r="C52">
            <v>0.1</v>
          </cell>
          <cell r="D52">
            <v>0.2</v>
          </cell>
        </row>
        <row r="53">
          <cell r="B53" t="str">
            <v>ZPA Prešov</v>
          </cell>
          <cell r="C53">
            <v>0</v>
          </cell>
          <cell r="D53">
            <v>0.15</v>
          </cell>
        </row>
        <row r="54">
          <cell r="B54" t="str">
            <v>Ekorex Lázně
Bohdaneč</v>
          </cell>
          <cell r="C54">
            <v>0.15</v>
          </cell>
          <cell r="D54">
            <v>0.15</v>
          </cell>
        </row>
        <row r="55">
          <cell r="B55" t="str">
            <v>Raab Karcher</v>
          </cell>
          <cell r="C55">
            <v>0.36</v>
          </cell>
          <cell r="D55">
            <v>0.25</v>
          </cell>
        </row>
        <row r="56">
          <cell r="B56" t="str">
            <v>Axima</v>
          </cell>
          <cell r="C56">
            <v>0</v>
          </cell>
          <cell r="D56">
            <v>0.15</v>
          </cell>
        </row>
        <row r="57">
          <cell r="B57" t="str">
            <v>Merlin&amp;G</v>
          </cell>
          <cell r="C57">
            <v>0</v>
          </cell>
          <cell r="D57">
            <v>0.16</v>
          </cell>
        </row>
        <row r="58">
          <cell r="B58" t="str">
            <v>MaR Plus</v>
          </cell>
          <cell r="C58">
            <v>0</v>
          </cell>
          <cell r="D58">
            <v>0.3</v>
          </cell>
        </row>
        <row r="59">
          <cell r="B59" t="str">
            <v>ZPA Pečky</v>
          </cell>
          <cell r="C59">
            <v>0</v>
          </cell>
          <cell r="D59">
            <v>0.15</v>
          </cell>
        </row>
        <row r="60">
          <cell r="B60" t="str">
            <v>EESA
Lomnice n.P.</v>
          </cell>
          <cell r="C60">
            <v>0</v>
          </cell>
          <cell r="D60">
            <v>0.15</v>
          </cell>
        </row>
        <row r="61">
          <cell r="B61" t="str">
            <v>REMAG trade</v>
          </cell>
          <cell r="C61">
            <v>0</v>
          </cell>
          <cell r="D61">
            <v>0.12</v>
          </cell>
        </row>
        <row r="62">
          <cell r="B62" t="str">
            <v>LOGITRON</v>
          </cell>
          <cell r="C62">
            <v>0</v>
          </cell>
          <cell r="D62">
            <v>0.15</v>
          </cell>
        </row>
        <row r="63">
          <cell r="B63" t="str">
            <v>MIWA Praha</v>
          </cell>
          <cell r="C63">
            <v>0</v>
          </cell>
          <cell r="D63">
            <v>0.15</v>
          </cell>
        </row>
        <row r="64">
          <cell r="B64" t="str">
            <v>EIG Praha</v>
          </cell>
          <cell r="C64">
            <v>0</v>
          </cell>
          <cell r="D64">
            <v>0.15</v>
          </cell>
        </row>
        <row r="65">
          <cell r="B65" t="str">
            <v>Honeywell</v>
          </cell>
          <cell r="C65">
            <v>0.2</v>
          </cell>
          <cell r="D65">
            <v>0.12</v>
          </cell>
        </row>
        <row r="66">
          <cell r="B66" t="str">
            <v>TERMS
Č. Budějovice</v>
          </cell>
          <cell r="C66">
            <v>0</v>
          </cell>
          <cell r="D66">
            <v>0.15</v>
          </cell>
        </row>
        <row r="67">
          <cell r="B67" t="str">
            <v>Transformátory
Blatná</v>
          </cell>
          <cell r="C67">
            <v>0</v>
          </cell>
          <cell r="D67">
            <v>0.15</v>
          </cell>
        </row>
        <row r="68">
          <cell r="B68" t="str">
            <v>Bola</v>
          </cell>
          <cell r="C68">
            <v>0</v>
          </cell>
          <cell r="D68">
            <v>0.15</v>
          </cell>
        </row>
        <row r="69">
          <cell r="B69" t="str">
            <v>dodav</v>
          </cell>
          <cell r="C69">
            <v>0.15</v>
          </cell>
          <cell r="D69">
            <v>0.1</v>
          </cell>
        </row>
        <row r="70">
          <cell r="B70" t="str">
            <v>BOLA pohony</v>
          </cell>
          <cell r="C70">
            <v>0.5</v>
          </cell>
          <cell r="D70">
            <v>0.12</v>
          </cell>
        </row>
        <row r="71">
          <cell r="B71" t="str">
            <v>BELIMO kul.k.</v>
          </cell>
          <cell r="C71">
            <v>0.5</v>
          </cell>
          <cell r="D71">
            <v>0.12</v>
          </cell>
        </row>
        <row r="72">
          <cell r="B72" t="str">
            <v>BOLA-ESBE</v>
          </cell>
          <cell r="C72">
            <v>0.05</v>
          </cell>
          <cell r="D72">
            <v>0.1</v>
          </cell>
        </row>
        <row r="73">
          <cell r="B73" t="str">
            <v>J.T.O. System</v>
          </cell>
          <cell r="C73">
            <v>0.05</v>
          </cell>
          <cell r="D73">
            <v>0.15</v>
          </cell>
        </row>
        <row r="74">
          <cell r="B74" t="str">
            <v>X</v>
          </cell>
          <cell r="C74">
            <v>0</v>
          </cell>
          <cell r="D74">
            <v>0</v>
          </cell>
        </row>
        <row r="75">
          <cell r="B75" t="str">
            <v>XX</v>
          </cell>
          <cell r="C75">
            <v>0</v>
          </cell>
          <cell r="D75">
            <v>0</v>
          </cell>
        </row>
        <row r="76">
          <cell r="B76" t="str">
            <v>CATV Olomouc</v>
          </cell>
          <cell r="C76">
            <v>0</v>
          </cell>
          <cell r="D76">
            <v>0.12</v>
          </cell>
        </row>
        <row r="77">
          <cell r="B77" t="str">
            <v>el-servis
Spálovský</v>
          </cell>
          <cell r="C77">
            <v>0</v>
          </cell>
          <cell r="D77">
            <v>0.15</v>
          </cell>
        </row>
        <row r="78">
          <cell r="B78" t="str">
            <v>Danfoss</v>
          </cell>
          <cell r="C78">
            <v>0</v>
          </cell>
          <cell r="D78">
            <v>0.15</v>
          </cell>
        </row>
        <row r="79">
          <cell r="B79" t="str">
            <v>Remak
Trade a.s.</v>
          </cell>
          <cell r="C79">
            <v>0</v>
          </cell>
          <cell r="D79">
            <v>0.15</v>
          </cell>
        </row>
        <row r="80">
          <cell r="B80" t="str">
            <v>Landis &amp; Staefa</v>
          </cell>
          <cell r="C80">
            <v>0.3</v>
          </cell>
          <cell r="D80">
            <v>0.15</v>
          </cell>
        </row>
        <row r="81">
          <cell r="B81" t="str">
            <v>AutoCont</v>
          </cell>
          <cell r="C81">
            <v>0.08</v>
          </cell>
          <cell r="D81">
            <v>0.1</v>
          </cell>
        </row>
        <row r="82">
          <cell r="B82" t="str">
            <v>M+D</v>
          </cell>
          <cell r="C82">
            <v>0</v>
          </cell>
          <cell r="D82">
            <v>0.15</v>
          </cell>
        </row>
        <row r="83">
          <cell r="B83" t="str">
            <v>FINDER</v>
          </cell>
          <cell r="C83">
            <v>0</v>
          </cell>
          <cell r="D83">
            <v>0.15</v>
          </cell>
        </row>
        <row r="84">
          <cell r="B84" t="str">
            <v>RAMI cz s.r.o.</v>
          </cell>
          <cell r="C84">
            <v>0</v>
          </cell>
          <cell r="D84">
            <v>0.15</v>
          </cell>
        </row>
        <row r="85">
          <cell r="B85" t="str">
            <v>XXX</v>
          </cell>
          <cell r="C85">
            <v>0</v>
          </cell>
          <cell r="D85">
            <v>0.15</v>
          </cell>
        </row>
        <row r="86">
          <cell r="B86" t="str">
            <v>MAVE &amp; spol.</v>
          </cell>
          <cell r="C86">
            <v>0</v>
          </cell>
          <cell r="D86">
            <v>0.15</v>
          </cell>
        </row>
        <row r="87">
          <cell r="B87" t="str">
            <v>rozv</v>
          </cell>
          <cell r="C87">
            <v>0</v>
          </cell>
          <cell r="D87">
            <v>0</v>
          </cell>
        </row>
        <row r="88">
          <cell r="B88" t="str">
            <v>ZPA CZ Trutnov</v>
          </cell>
          <cell r="C88">
            <v>0</v>
          </cell>
          <cell r="D88">
            <v>0.08</v>
          </cell>
        </row>
        <row r="89">
          <cell r="B89" t="str">
            <v>SALTEK</v>
          </cell>
          <cell r="C89">
            <v>0</v>
          </cell>
          <cell r="D89">
            <v>0.15</v>
          </cell>
        </row>
        <row r="90">
          <cell r="B90" t="str">
            <v>BELIMO CZ</v>
          </cell>
          <cell r="C90">
            <v>0</v>
          </cell>
          <cell r="D90">
            <v>0.15</v>
          </cell>
        </row>
        <row r="91">
          <cell r="B91" t="str">
            <v>M&amp;D ELEKTRO</v>
          </cell>
          <cell r="C91">
            <v>0</v>
          </cell>
          <cell r="D91">
            <v>0.15</v>
          </cell>
        </row>
        <row r="92">
          <cell r="B92" t="str">
            <v>REGMET</v>
          </cell>
          <cell r="C92">
            <v>0.15</v>
          </cell>
          <cell r="D92">
            <v>0.15</v>
          </cell>
        </row>
        <row r="93">
          <cell r="B93" t="str">
            <v>ENBRA</v>
          </cell>
          <cell r="C93">
            <v>0</v>
          </cell>
          <cell r="D93">
            <v>0.15</v>
          </cell>
        </row>
        <row r="94">
          <cell r="B94" t="str">
            <v>AVOS
automation</v>
          </cell>
          <cell r="C94">
            <v>0</v>
          </cell>
          <cell r="D94">
            <v>0.15</v>
          </cell>
        </row>
        <row r="95">
          <cell r="B95" t="str">
            <v>Luka systém</v>
          </cell>
          <cell r="C95">
            <v>0</v>
          </cell>
          <cell r="D95">
            <v>0.15</v>
          </cell>
        </row>
        <row r="96">
          <cell r="B96" t="str">
            <v>PRO-REG</v>
          </cell>
          <cell r="C96">
            <v>0</v>
          </cell>
          <cell r="D96">
            <v>0.15</v>
          </cell>
        </row>
        <row r="97">
          <cell r="B97" t="str">
            <v>Eberle</v>
          </cell>
          <cell r="C97">
            <v>0</v>
          </cell>
          <cell r="D97">
            <v>0.15</v>
          </cell>
        </row>
        <row r="98">
          <cell r="B98" t="str">
            <v>Landis &amp; Staefa_S</v>
          </cell>
          <cell r="C98">
            <v>0.25</v>
          </cell>
          <cell r="D98">
            <v>0.09</v>
          </cell>
        </row>
        <row r="99">
          <cell r="B99" t="str">
            <v>BOLA-AM TECHNIC LINE</v>
          </cell>
          <cell r="C99">
            <v>0.1</v>
          </cell>
          <cell r="D99">
            <v>0.12</v>
          </cell>
        </row>
        <row r="100">
          <cell r="B100" t="str">
            <v>BOLA-HUBA</v>
          </cell>
          <cell r="C100">
            <v>0.1</v>
          </cell>
          <cell r="D100">
            <v>0.12</v>
          </cell>
        </row>
        <row r="101">
          <cell r="B101" t="str">
            <v>BOLA-ALCO</v>
          </cell>
          <cell r="C101">
            <v>0.11</v>
          </cell>
          <cell r="D101">
            <v>0.12</v>
          </cell>
        </row>
        <row r="102">
          <cell r="B102" t="str">
            <v>KROHNE</v>
          </cell>
          <cell r="C102">
            <v>0</v>
          </cell>
          <cell r="D102">
            <v>0.08</v>
          </cell>
        </row>
        <row r="103">
          <cell r="B103" t="str">
            <v>SENTRON CZ</v>
          </cell>
          <cell r="C103">
            <v>0</v>
          </cell>
          <cell r="D103">
            <v>0.15</v>
          </cell>
        </row>
        <row r="104">
          <cell r="B104" t="str">
            <v>DMS</v>
          </cell>
          <cell r="C104">
            <v>0</v>
          </cell>
          <cell r="D104">
            <v>0.05</v>
          </cell>
        </row>
        <row r="105">
          <cell r="B105" t="str">
            <v>Sauter</v>
          </cell>
          <cell r="C105">
            <v>0.3</v>
          </cell>
          <cell r="D105">
            <v>0.15</v>
          </cell>
        </row>
        <row r="106">
          <cell r="B106" t="str">
            <v>Sauter ŘS</v>
          </cell>
          <cell r="C106">
            <v>0.3</v>
          </cell>
          <cell r="D106">
            <v>0.07</v>
          </cell>
        </row>
        <row r="107">
          <cell r="B107" t="str">
            <v>rozv</v>
          </cell>
          <cell r="C107">
            <v>0</v>
          </cell>
          <cell r="D107">
            <v>0</v>
          </cell>
        </row>
        <row r="108">
          <cell r="B108" t="str">
            <v>AMiT</v>
          </cell>
          <cell r="C108">
            <v>0.12</v>
          </cell>
          <cell r="D108">
            <v>0.05</v>
          </cell>
        </row>
        <row r="109">
          <cell r="B109" t="str">
            <v>ABB</v>
          </cell>
          <cell r="C109">
            <v>0</v>
          </cell>
          <cell r="D109">
            <v>0.15</v>
          </cell>
        </row>
        <row r="110">
          <cell r="B110" t="str">
            <v>AUGUSTA ELEKTRA</v>
          </cell>
          <cell r="C110">
            <v>0.05</v>
          </cell>
          <cell r="D110">
            <v>0.12</v>
          </cell>
        </row>
        <row r="111">
          <cell r="B111" t="str">
            <v>Elsaco Kolín</v>
          </cell>
          <cell r="C111">
            <v>0</v>
          </cell>
          <cell r="D111">
            <v>0.08</v>
          </cell>
        </row>
        <row r="112">
          <cell r="B112" t="str">
            <v>SAIA</v>
          </cell>
          <cell r="C112">
            <v>0</v>
          </cell>
          <cell r="D112">
            <v>0.05</v>
          </cell>
        </row>
        <row r="113">
          <cell r="B113" t="str">
            <v>SW</v>
          </cell>
          <cell r="C113">
            <v>0</v>
          </cell>
          <cell r="D113">
            <v>0</v>
          </cell>
        </row>
        <row r="114">
          <cell r="B114" t="str">
            <v>PC</v>
          </cell>
          <cell r="C114">
            <v>0</v>
          </cell>
          <cell r="D114">
            <v>0.05</v>
          </cell>
        </row>
        <row r="115">
          <cell r="B115" t="str">
            <v>Remax CZ</v>
          </cell>
          <cell r="C115">
            <v>0</v>
          </cell>
          <cell r="D115">
            <v>0.08</v>
          </cell>
        </row>
      </sheetData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 refreshError="1">
        <row r="9">
          <cell r="E9">
            <v>974417.6</v>
          </cell>
          <cell r="F9">
            <v>0</v>
          </cell>
          <cell r="G9">
            <v>0</v>
          </cell>
          <cell r="H9">
            <v>286589.36</v>
          </cell>
          <cell r="I9">
            <v>0</v>
          </cell>
        </row>
        <row r="15">
          <cell r="H15">
            <v>0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zorPolozky"/>
      <sheetName val="SO 01 - I. ETAPA"/>
      <sheetName val="SO 01 - II. ETAPA"/>
      <sheetName val="SO 02"/>
      <sheetName val="rozpočet"/>
      <sheetName val="so 11.1a výkaz výměr"/>
      <sheetName val="OBALKA"/>
    </sheetNames>
    <sheetDataSet>
      <sheetData sheetId="0">
        <row r="23">
          <cell r="G23">
            <v>0</v>
          </cell>
        </row>
        <row r="24">
          <cell r="G24">
            <v>0</v>
          </cell>
        </row>
        <row r="25">
          <cell r="G25">
            <v>7682896.210000002</v>
          </cell>
        </row>
        <row r="26">
          <cell r="G26">
            <v>1613408.2041000002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alia_rozp"/>
      <sheetName val="Thalia_nab"/>
      <sheetName val="Thalia_mont"/>
      <sheetName val="Thalia_mont_komunikace"/>
      <sheetName val="tHALIA_SW"/>
      <sheetName val="thalia_rozv_DP1"/>
      <sheetName val="thalia_rozv_DP2"/>
      <sheetName val="thalia_rozv_DP3"/>
      <sheetName val="thalia_rozv_D1"/>
      <sheetName val="thalia_rozv_D2"/>
      <sheetName val="Thalia_skřIRC"/>
      <sheetName val="Náplavní_rozp_2"/>
      <sheetName val="SW"/>
      <sheetName val="Náplavní_rozp"/>
      <sheetName val="Náplavní_nab"/>
      <sheetName val="fancoil"/>
      <sheetName val="Naplavni_mont"/>
      <sheetName val="Naplavni_mont (2)"/>
      <sheetName val="proj"/>
      <sheetName val="Gayer_rozp"/>
      <sheetName val="Gayer_rozp_z"/>
      <sheetName val="Gayer_rozv"/>
      <sheetName val="Gayer_mont"/>
      <sheetName val="Ládví_rozp_z"/>
      <sheetName val="Ládví"/>
      <sheetName val="Nem_specifikace"/>
      <sheetName val="DATA"/>
      <sheetName val="ostat_data"/>
      <sheetName val="_data"/>
      <sheetName val="_data (2)"/>
      <sheetName val="ŽLABY180804"/>
      <sheetName val="dodav"/>
      <sheetName val="odhad"/>
      <sheetName val="tISKÁRNA_rozv_odhad"/>
      <sheetName val="CM _rozp (2)"/>
      <sheetName val="Polička Těl_rozp"/>
      <sheetName val="Serum_rozp_z (2)"/>
      <sheetName val="Serum_roup"/>
      <sheetName val="Serum_roup (2)"/>
      <sheetName val="Serum_rozp_z"/>
      <sheetName val="kabelak (3)"/>
      <sheetName val="kabelak"/>
      <sheetName val="RA-PS11"/>
      <sheetName val="RV20.1"/>
      <sheetName val="RB-PS12"/>
      <sheetName val="RV20.2"/>
      <sheetName val="RV21"/>
      <sheetName val="CM _rozp"/>
      <sheetName val="CMII _BOC_CO_nab"/>
      <sheetName val="CM_rozv"/>
      <sheetName val="CM_mont"/>
      <sheetName val="Polička Těl_nab"/>
      <sheetName val="Polička_MR1_rozv"/>
      <sheetName val="Polička_mont"/>
      <sheetName val="Pleas_rozv"/>
      <sheetName val="Pleas_rozp_4A"/>
      <sheetName val="Pleas_rozp_5,6"/>
      <sheetName val="Pleas_nab"/>
      <sheetName val="Pleas_nab_5,6_z"/>
      <sheetName val="Nabídka LG"/>
      <sheetName val="Pleas_mont_4A"/>
      <sheetName val="Pleas_mont_5,6"/>
      <sheetName val="Pleas_mont_VS "/>
      <sheetName val="NemKolín_MaR_nab"/>
      <sheetName val="NemKolín_MaR_nab (2)"/>
      <sheetName val="Nabídka (2)"/>
      <sheetName val="JN_mont"/>
      <sheetName val="Nem_4.2"/>
      <sheetName val="Nem_4.3"/>
      <sheetName val="Nem_4.4-1p"/>
      <sheetName val="Nem_4.4-2p"/>
      <sheetName val="Babice_Honeywell_rozp"/>
      <sheetName val="Babicel_rozp_z"/>
      <sheetName val="JN kolonada_nab"/>
      <sheetName val="JN_ rozv"/>
      <sheetName val="Ledeč_BA"/>
      <sheetName val="Krycí list"/>
      <sheetName val="Ledeč_mont"/>
      <sheetName val="rekapitulace"/>
      <sheetName val="Položky"/>
      <sheetName val="Ledeč_mont_kontr"/>
      <sheetName val="Nabídka _LG_light"/>
      <sheetName val="light_rozp"/>
      <sheetName val="rekap3"/>
      <sheetName val="Foxconn light_rozp_z"/>
      <sheetName val="light_BB"/>
      <sheetName val="light_BC"/>
      <sheetName val="light_BD"/>
      <sheetName val="FoxconnVS_rozp"/>
      <sheetName val="Nabídka"/>
      <sheetName val="rozp MaR (2)"/>
      <sheetName val="pomoc vyp"/>
      <sheetName val="rozp_ODHAD"/>
      <sheetName val="MaR"/>
      <sheetName val="Nabídka  LG"/>
      <sheetName val="rozp MaR"/>
      <sheetName val="rozp_z"/>
      <sheetName val="rozp (2)"/>
      <sheetName val="MONT_doplň_8p"/>
      <sheetName val="cina_skřIRC"/>
      <sheetName val="Vin_Rozvaděče Fan-coily"/>
      <sheetName val="mont_data"/>
      <sheetName val="ŽLABY_staré"/>
      <sheetName val="Cenová informace HWL"/>
      <sheetName val="Univerzita HK MaR_nab"/>
      <sheetName val="rozp_UHK"/>
      <sheetName val="kab_UHK"/>
      <sheetName val="mont_UHK"/>
      <sheetName val="mont_UHK (2)"/>
      <sheetName val="kabel_vzor"/>
      <sheetName val="UHK_skřIRC"/>
      <sheetName val="rozv_BA1"/>
      <sheetName val="rozv_BA2"/>
      <sheetName val="nab_KD"/>
      <sheetName val="List1"/>
      <sheetName val="rozp pomoc_vzor"/>
      <sheetName val="rozp pomoc mont_vzor"/>
      <sheetName val="rozp_lab_PP_"/>
      <sheetName val="rozp_lab_PP_rozp_z"/>
      <sheetName val="rozp_lab_PP_VV_z"/>
      <sheetName val="kabel_lab"/>
      <sheetName val="rozv_RD1"/>
      <sheetName val="rozv_RD2"/>
      <sheetName val="rozv_RD3"/>
      <sheetName val="rozv_RD4"/>
      <sheetName val="mont_lab"/>
      <sheetName val="kabel_lab_RD2"/>
      <sheetName val="kabel_lab_RD3"/>
      <sheetName val="kabel_lab_RD4"/>
      <sheetName val="seznam obvodů_data"/>
      <sheetName val="seznam obvodů"/>
      <sheetName val="seznam obvodů_080306"/>
      <sheetName val="rozp_lab_PP"/>
      <sheetName val="Nem Nachod JIP MaR_rozp"/>
      <sheetName val="kabel_JIP PP_opr"/>
      <sheetName val="kabel_JIP PP_"/>
      <sheetName val="specPP"/>
      <sheetName val="rozp_hor nem opr tl"/>
      <sheetName val="rozpPP (2)"/>
      <sheetName val="rozv_"/>
      <sheetName val="nem Nachod_nab_subi"/>
      <sheetName val="rozp"/>
      <sheetName val="nem Nachod_nab"/>
      <sheetName val="mont"/>
      <sheetName val="03vMaR"/>
      <sheetName val="03zMaR"/>
      <sheetName val="04MaR"/>
      <sheetName val="3-JH-2001,2 (B)"/>
      <sheetName val="CV Smetanova_PP27.7"/>
      <sheetName val="CV Smetanova_PP27.7z"/>
      <sheetName val="CV Smetanova_PP21.7"/>
      <sheetName val="CV Smetanova_PP21.7_z"/>
      <sheetName val="CV Smetanova_PP19.7_z"/>
      <sheetName val="CV Smetanova_PP17.7 (4)"/>
      <sheetName val="CV Smetanova_PP12.7 (3)"/>
      <sheetName val="CV Smetanova_PP11.7 (2)"/>
      <sheetName val="CV Smetanova_PP10.7"/>
      <sheetName val="CV Smetanova_specifikace PP 3"/>
      <sheetName val="CV Smetanova_PP"/>
      <sheetName val="CV Smetanova_specifikace PP 1"/>
      <sheetName val="blok"/>
      <sheetName val="CV Smetanova_rozp_nab (2)"/>
      <sheetName val="Rekapitulace MaR"/>
      <sheetName val="Položky MaR"/>
      <sheetName val="CV Smetanova_rozp_nab"/>
      <sheetName val="CV Smetanova_CD"/>
      <sheetName val="mont_CV nab"/>
      <sheetName val="ŽLABY180804 (2)"/>
      <sheetName val="CV Smetanova_tepl. prip."/>
      <sheetName val="CV Smetanova_tepl. prip._rozp"/>
      <sheetName val="CV Smetanova_tepl. prip._výk vý"/>
      <sheetName val="krycí list_specifikace"/>
      <sheetName val="krycí list_rozpočet"/>
      <sheetName val="CV Smetanova_výkaz výměr"/>
      <sheetName val="CV Smetanova_rozpočet"/>
      <sheetName val="CV Smetanova_proj"/>
      <sheetName val="DCV_rozp (2)"/>
      <sheetName val="DCV_rozp"/>
      <sheetName val="rozv"/>
      <sheetName val="List2"/>
      <sheetName val="List3"/>
      <sheetName val="Svatoslavova"/>
      <sheetName val="Cibulkové_rozp"/>
      <sheetName val="Legie_rozp"/>
      <sheetName val="rekap"/>
      <sheetName val="Jihlavska_rozp"/>
      <sheetName val="Krumlovska_rozp"/>
      <sheetName val="Krumlovska_rozp (2)"/>
      <sheetName val="rozv_RD2_"/>
      <sheetName val="rozv_RD2_ (2)"/>
      <sheetName val="Nuselska_rozp (2)"/>
      <sheetName val="rozv_RD2_ (3)"/>
      <sheetName val="rozp_KRPA"/>
      <sheetName val="kalkulace"/>
      <sheetName val="Univ Pce A2_mont"/>
      <sheetName val="Univ Pce A2_nab"/>
      <sheetName val="Univ Pce A2 _VV"/>
      <sheetName val="cena PP"/>
      <sheetName val="kabel"/>
      <sheetName val="rozp_ventily2"/>
      <sheetName val="rozp_ventily"/>
      <sheetName val="Siemens"/>
      <sheetName val="Husova_rozp"/>
      <sheetName val="Husova_rozp (2)"/>
      <sheetName val="Husova_nab"/>
      <sheetName val="Krucenburk_rozp"/>
      <sheetName val="Krucenburk_rozp (2)"/>
      <sheetName val="Krucenburk_nab"/>
      <sheetName val="Tepvos_rozp"/>
      <sheetName val="Na Dolinách_rozpPP_230209"/>
      <sheetName val="titl_Na Dolinách"/>
      <sheetName val="Na Dolinách_specPP"/>
      <sheetName val="Na Dolinách_230209"/>
      <sheetName val="Na Dolinách_rozp_230209"/>
      <sheetName val="Na Dolinách_nab2"/>
      <sheetName val="Na Dolinách_rozp2"/>
      <sheetName val="Bránická_rozp"/>
      <sheetName val="Na Dolinách_rozp"/>
      <sheetName val="Na Dolinách_nab"/>
      <sheetName val="Bránická_311008"/>
      <sheetName val="Bránická_nab2"/>
      <sheetName val="Bránická_nab"/>
      <sheetName val="Cibulkové_pův rozp"/>
      <sheetName val="rozv pův_Cibulkove"/>
      <sheetName val="Cibulkové_rozp_10.10.08"/>
      <sheetName val="Cibulkové_nab_16.10.08"/>
      <sheetName val="Cibulkové_podkl_10.10.08"/>
      <sheetName val="rozv_Cibulkove_10.10.08"/>
      <sheetName val="ZŠ Jitřní_rozp"/>
      <sheetName val="ZŠ Jitřní_nab"/>
      <sheetName val="ZŠ Jitřní_nab2"/>
      <sheetName val="Nuselská94_rozp"/>
      <sheetName val="Nuselská94_nab"/>
      <sheetName val="Na Klikovce_rozp"/>
      <sheetName val="Na Klikovce_rozp (2)"/>
      <sheetName val="Viktorinova_tlak"/>
      <sheetName val="rozv_vik_tlak"/>
      <sheetName val="rozv_vik_kot"/>
      <sheetName val="rozv_vik_kot_bez tl"/>
      <sheetName val="Viktorinova_tlak (2)"/>
      <sheetName val="Viktorinova_kotelna"/>
      <sheetName val="Viktorinova_kotelna_nab"/>
      <sheetName val="Viktorinova_kotelna_rek"/>
      <sheetName val="Viktorinova_OPS+kot_rozp PP (2)"/>
      <sheetName val="Na Klaudiánce 19_rozp PP"/>
      <sheetName val="Na Klaudiánce 19_spec PP"/>
      <sheetName val="Viktorinova_OPS+kot_rozp PP"/>
      <sheetName val="Viktorinova_OPS+kot"/>
      <sheetName val="Viktorinova_OPS+kot_spec PP"/>
      <sheetName val="Viktorinova_OPS+kot_specPPmarek"/>
      <sheetName val="Viktorinova_podklady1"/>
      <sheetName val="Viktorinova_OPS"/>
      <sheetName val="rozv_vik"/>
      <sheetName val="rozv_viktorinova"/>
      <sheetName val="Semily_roz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/>
      <sheetData sheetId="206"/>
      <sheetData sheetId="207"/>
      <sheetData sheetId="208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  <sheetName val="NORMIK"/>
      <sheetName val="Řídící systém"/>
      <sheetName val="Software ŘS"/>
      <sheetName val="Centrála"/>
      <sheetName val="MaR"/>
      <sheetName val="Rozvodnice"/>
      <sheetName val="Ostatní"/>
      <sheetName val="Dopis"/>
      <sheetName val="Nabídka"/>
      <sheetName val="RabatList"/>
      <sheetName val="so 11.1a výkaz výměr"/>
      <sheetName val="OBALKA"/>
      <sheetName val="Krycí list"/>
    </sheetNames>
    <sheetDataSet>
      <sheetData sheetId="0">
        <row r="25">
          <cell r="D25">
            <v>160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dav"/>
      <sheetName val="FM"/>
      <sheetName val="KAB"/>
      <sheetName val="ROZV"/>
      <sheetName val="rozpočetstep"/>
      <sheetName val="List1"/>
      <sheetName val="rekstep"/>
      <sheetName val="KAB2"/>
      <sheetName val="ROZV2"/>
      <sheetName val="rozpočetstep2"/>
      <sheetName val="List2"/>
      <sheetName val="rekstep2"/>
      <sheetName val="KAB2skutmezistav"/>
      <sheetName val="KABskut"/>
      <sheetName val="motážrozv"/>
      <sheetName val="ROZVskutmezistav"/>
      <sheetName val="rozpočetskut"/>
      <sheetName val="rekskut"/>
      <sheetName val="KABELN "/>
      <sheetName val="KOTN"/>
      <sheetName val="RKOTN "/>
      <sheetName val="ROZVN"/>
      <sheetName val="KOT STEPN"/>
      <sheetName val="RKOT STEPN"/>
      <sheetName val="KOT STEPN(2)"/>
      <sheetName val="RKOT STEPN(2)"/>
      <sheetName val="KABčist"/>
      <sheetName val="rozpočetčist"/>
      <sheetName val="rekčist"/>
      <sheetName val="spec_dopl_čist2"/>
      <sheetName val="kab_dopl_čist2"/>
      <sheetName val="KABčist2"/>
      <sheetName val="rozpočetčist2"/>
      <sheetName val="rekčist2"/>
      <sheetName val="Rekapitulace"/>
      <sheetName val="ÚT"/>
      <sheetName val="Plyn"/>
      <sheetName val="VZT"/>
      <sheetName val="SILNO"/>
      <sheetName val="SILNO -VAR."/>
      <sheetName val="MaR"/>
      <sheetName val="EPS"/>
      <sheetName val="Krycí list"/>
      <sheetName val="DATA"/>
    </sheetNames>
    <sheetDataSet>
      <sheetData sheetId="0" refreshError="1">
        <row r="1">
          <cell r="B1" t="str">
            <v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atyp</v>
          </cell>
          <cell r="C6">
            <v>0</v>
          </cell>
          <cell r="D6">
            <v>0.08</v>
          </cell>
        </row>
        <row r="7">
          <cell r="B7" t="str">
            <v>ZPA Nová Paka</v>
          </cell>
          <cell r="C7">
            <v>0.15</v>
          </cell>
          <cell r="D7">
            <v>0.15</v>
          </cell>
          <cell r="E7">
            <v>4.2</v>
          </cell>
        </row>
        <row r="8">
          <cell r="B8" t="str">
            <v>BD Sensors</v>
          </cell>
          <cell r="C8">
            <v>0</v>
          </cell>
          <cell r="D8">
            <v>0.15</v>
          </cell>
        </row>
        <row r="9">
          <cell r="B9" t="str">
            <v>CLAUHAN
Brno</v>
          </cell>
          <cell r="C9">
            <v>0</v>
          </cell>
          <cell r="D9">
            <v>0.3</v>
          </cell>
        </row>
        <row r="10">
          <cell r="B10" t="str">
            <v>Comel</v>
          </cell>
          <cell r="C10">
            <v>0</v>
          </cell>
          <cell r="D10">
            <v>0.15</v>
          </cell>
        </row>
        <row r="11">
          <cell r="B11" t="str">
            <v>DA Ostrava</v>
          </cell>
          <cell r="C11">
            <v>0</v>
          </cell>
          <cell r="D11">
            <v>0.15</v>
          </cell>
        </row>
        <row r="12">
          <cell r="B12" t="str">
            <v>dodávka 
investora</v>
          </cell>
          <cell r="C12">
            <v>0</v>
          </cell>
          <cell r="D12">
            <v>0</v>
          </cell>
        </row>
        <row r="13">
          <cell r="B13" t="str">
            <v>Eko-Ekviterm </v>
          </cell>
          <cell r="C13">
            <v>0.1</v>
          </cell>
          <cell r="D13">
            <v>0.15</v>
          </cell>
        </row>
        <row r="14">
          <cell r="B14" t="str">
            <v>Ekorex+
Nová Paka</v>
          </cell>
          <cell r="C14">
            <v>0.17</v>
          </cell>
          <cell r="D14">
            <v>0.21</v>
          </cell>
        </row>
        <row r="15">
          <cell r="B15" t="str">
            <v>Eleco</v>
          </cell>
          <cell r="C15">
            <v>0</v>
          </cell>
          <cell r="D15">
            <v>0.17</v>
          </cell>
        </row>
        <row r="16">
          <cell r="B16" t="str">
            <v>Elektram</v>
          </cell>
          <cell r="C16">
            <v>0</v>
          </cell>
          <cell r="D16">
            <v>0.15</v>
          </cell>
        </row>
        <row r="17">
          <cell r="B17" t="str">
            <v>Elektram/kab</v>
          </cell>
          <cell r="C17">
            <v>0</v>
          </cell>
          <cell r="D17">
            <v>0.12</v>
          </cell>
        </row>
        <row r="18">
          <cell r="B18" t="str">
            <v>Elektropřístroj
Písek</v>
          </cell>
          <cell r="C18">
            <v>0</v>
          </cell>
          <cell r="D18">
            <v>0.15</v>
          </cell>
        </row>
        <row r="19">
          <cell r="B19" t="str">
            <v>EP Písek</v>
          </cell>
          <cell r="C19">
            <v>0</v>
          </cell>
          <cell r="D19">
            <v>0.15</v>
          </cell>
        </row>
        <row r="20">
          <cell r="B20" t="str">
            <v>ENERGIE MaR</v>
          </cell>
          <cell r="C20">
            <v>0</v>
          </cell>
          <cell r="D20">
            <v>0</v>
          </cell>
        </row>
        <row r="21">
          <cell r="B21" t="str">
            <v>Entrelec</v>
          </cell>
          <cell r="C21">
            <v>0</v>
          </cell>
          <cell r="D21">
            <v>0.12</v>
          </cell>
        </row>
        <row r="22">
          <cell r="B22" t="str">
            <v>EO Pardubice</v>
          </cell>
          <cell r="C22">
            <v>0</v>
          </cell>
          <cell r="D22">
            <v>0.15</v>
          </cell>
        </row>
        <row r="23">
          <cell r="B23" t="str">
            <v>ERAB</v>
          </cell>
          <cell r="C23">
            <v>0</v>
          </cell>
          <cell r="D23">
            <v>0.15</v>
          </cell>
        </row>
        <row r="24">
          <cell r="B24" t="str">
            <v>F&amp;G</v>
          </cell>
          <cell r="C24">
            <v>0</v>
          </cell>
          <cell r="D24">
            <v>0.15</v>
          </cell>
        </row>
        <row r="25">
          <cell r="B25" t="str">
            <v>Groupe-
Schneider</v>
          </cell>
          <cell r="C25">
            <v>0</v>
          </cell>
          <cell r="D25">
            <v>0.15</v>
          </cell>
        </row>
        <row r="26">
          <cell r="B26" t="str">
            <v>Groupe-
Schneider-Tel.</v>
          </cell>
          <cell r="C26">
            <v>0.1</v>
          </cell>
          <cell r="D26">
            <v>0.1</v>
          </cell>
        </row>
        <row r="27">
          <cell r="B27" t="str">
            <v>HAKEL</v>
          </cell>
          <cell r="C27">
            <v>0</v>
          </cell>
          <cell r="D27">
            <v>0.25</v>
          </cell>
        </row>
        <row r="28">
          <cell r="B28" t="str">
            <v>Johnson 
Controls</v>
          </cell>
          <cell r="C28">
            <v>0</v>
          </cell>
          <cell r="D28">
            <v>0</v>
          </cell>
        </row>
        <row r="29">
          <cell r="B29" t="str">
            <v>Končar</v>
          </cell>
          <cell r="C29">
            <v>0</v>
          </cell>
          <cell r="D29">
            <v>0.15</v>
          </cell>
        </row>
        <row r="30">
          <cell r="B30" t="str">
            <v>LDM 
Č. Třebová</v>
          </cell>
          <cell r="C30">
            <v>0.23</v>
          </cell>
          <cell r="D30">
            <v>0.15</v>
          </cell>
        </row>
        <row r="31">
          <cell r="B31" t="str">
            <v>MARTECH
Hradec Králové</v>
          </cell>
          <cell r="C31">
            <v>0</v>
          </cell>
          <cell r="D31">
            <v>0.15</v>
          </cell>
        </row>
        <row r="32">
          <cell r="B32" t="str">
            <v>OEZ Letohrad</v>
          </cell>
          <cell r="C32">
            <v>0</v>
          </cell>
          <cell r="D32">
            <v>0.15</v>
          </cell>
        </row>
        <row r="33">
          <cell r="B33" t="str">
            <v>ostatní</v>
          </cell>
          <cell r="C33">
            <v>0</v>
          </cell>
          <cell r="D33">
            <v>0.05</v>
          </cell>
        </row>
        <row r="34">
          <cell r="B34" t="str">
            <v>PEVEKO
Boršice u B.</v>
          </cell>
          <cell r="C34">
            <v>0.1</v>
          </cell>
          <cell r="D34">
            <v>0.15</v>
          </cell>
        </row>
        <row r="35">
          <cell r="B35" t="str">
            <v>Remagg
Vyškov</v>
          </cell>
          <cell r="C35">
            <v>0</v>
          </cell>
          <cell r="D35">
            <v>0.15</v>
          </cell>
        </row>
        <row r="36">
          <cell r="B36" t="str">
            <v>SENSIT
Rožnov p. R.</v>
          </cell>
          <cell r="C36">
            <v>0</v>
          </cell>
          <cell r="D36">
            <v>0.15</v>
          </cell>
        </row>
        <row r="37">
          <cell r="B37" t="str">
            <v>Schrack</v>
          </cell>
          <cell r="C37">
            <v>0</v>
          </cell>
          <cell r="D37">
            <v>0.15</v>
          </cell>
        </row>
        <row r="38">
          <cell r="B38" t="str">
            <v>stávající</v>
          </cell>
          <cell r="C38">
            <v>0</v>
          </cell>
          <cell r="D38">
            <v>0</v>
          </cell>
        </row>
        <row r="39">
          <cell r="B39" t="str">
            <v>strojní
dodávka</v>
          </cell>
          <cell r="C39">
            <v>0</v>
          </cell>
          <cell r="D39">
            <v>0</v>
          </cell>
        </row>
        <row r="40">
          <cell r="B40" t="str">
            <v>Teco</v>
          </cell>
          <cell r="C40">
            <v>0.1</v>
          </cell>
          <cell r="D40">
            <v>0.15</v>
          </cell>
        </row>
        <row r="41">
          <cell r="B41" t="str">
            <v>Tecont</v>
          </cell>
          <cell r="C41">
            <v>0.2</v>
          </cell>
          <cell r="D41">
            <v>0.2</v>
          </cell>
        </row>
        <row r="42">
          <cell r="B42" t="str">
            <v>výroba roz.</v>
          </cell>
          <cell r="C42">
            <v>0</v>
          </cell>
          <cell r="D42">
            <v>0</v>
          </cell>
        </row>
        <row r="43">
          <cell r="B43" t="str">
            <v>ZPA Ekoreg
Ústí n/L</v>
          </cell>
          <cell r="C43">
            <v>0.1</v>
          </cell>
          <cell r="D43">
            <v>0.15</v>
          </cell>
        </row>
        <row r="44">
          <cell r="B44" t="str">
            <v>ZPA
Nová Paka</v>
          </cell>
          <cell r="C44">
            <v>0.15</v>
          </cell>
          <cell r="D44">
            <v>0.18</v>
          </cell>
        </row>
        <row r="45">
          <cell r="B45" t="str">
            <v>JSP
Nová Paka</v>
          </cell>
          <cell r="C45">
            <v>0.1</v>
          </cell>
          <cell r="D45">
            <v>0.2</v>
          </cell>
        </row>
        <row r="46">
          <cell r="B46" t="str">
            <v>ZPA Prešov</v>
          </cell>
          <cell r="C46">
            <v>0</v>
          </cell>
          <cell r="D46">
            <v>0.15</v>
          </cell>
        </row>
        <row r="47">
          <cell r="B47" t="str">
            <v>Ekorex Lázně
Bohdaneč</v>
          </cell>
          <cell r="C47">
            <v>0.15</v>
          </cell>
          <cell r="D47">
            <v>0.15</v>
          </cell>
        </row>
        <row r="48">
          <cell r="B48" t="str">
            <v>Raab Karcher</v>
          </cell>
          <cell r="C48">
            <v>0.36</v>
          </cell>
          <cell r="D48">
            <v>0.25</v>
          </cell>
        </row>
        <row r="49">
          <cell r="B49" t="str">
            <v>Axima</v>
          </cell>
          <cell r="C49">
            <v>0</v>
          </cell>
          <cell r="D49">
            <v>0.15</v>
          </cell>
        </row>
        <row r="50">
          <cell r="B50" t="str">
            <v>Merlin&amp;G</v>
          </cell>
          <cell r="C50">
            <v>0</v>
          </cell>
          <cell r="D50">
            <v>0.16</v>
          </cell>
        </row>
        <row r="51">
          <cell r="B51" t="str">
            <v>MaR Plus</v>
          </cell>
          <cell r="C51">
            <v>0</v>
          </cell>
          <cell r="D51">
            <v>0.3</v>
          </cell>
        </row>
        <row r="52">
          <cell r="B52" t="str">
            <v>ZPA Pečky</v>
          </cell>
          <cell r="C52">
            <v>0</v>
          </cell>
          <cell r="D52">
            <v>0.15</v>
          </cell>
        </row>
        <row r="53">
          <cell r="B53" t="str">
            <v>EESA
Lomnice n.P.</v>
          </cell>
          <cell r="C53">
            <v>0</v>
          </cell>
          <cell r="D53">
            <v>0.15</v>
          </cell>
        </row>
        <row r="54">
          <cell r="B54" t="str">
            <v>REMAG trade</v>
          </cell>
          <cell r="C54">
            <v>0</v>
          </cell>
          <cell r="D54">
            <v>0.15</v>
          </cell>
        </row>
        <row r="55">
          <cell r="B55" t="str">
            <v>LOGITRON</v>
          </cell>
          <cell r="C55">
            <v>0</v>
          </cell>
          <cell r="D55">
            <v>0.15</v>
          </cell>
        </row>
        <row r="56">
          <cell r="B56" t="str">
            <v>MIWA Praha</v>
          </cell>
          <cell r="C56">
            <v>0</v>
          </cell>
          <cell r="D56">
            <v>0.15</v>
          </cell>
        </row>
        <row r="57">
          <cell r="B57" t="str">
            <v>EIG Praha</v>
          </cell>
          <cell r="C57">
            <v>0</v>
          </cell>
          <cell r="D57">
            <v>0.15</v>
          </cell>
        </row>
        <row r="58">
          <cell r="B58" t="str">
            <v>Honeywell</v>
          </cell>
          <cell r="C58">
            <v>0.4</v>
          </cell>
          <cell r="D58">
            <v>0.08</v>
          </cell>
        </row>
        <row r="59">
          <cell r="B59" t="str">
            <v>TERMS
Č. Budějovice</v>
          </cell>
          <cell r="C59">
            <v>0</v>
          </cell>
          <cell r="D59">
            <v>0.18</v>
          </cell>
        </row>
        <row r="60">
          <cell r="B60" t="str">
            <v>Transformátory
Blatná</v>
          </cell>
          <cell r="C60">
            <v>0</v>
          </cell>
          <cell r="D60">
            <v>0.15</v>
          </cell>
        </row>
        <row r="61">
          <cell r="B61" t="str">
            <v>Bola</v>
          </cell>
          <cell r="C61">
            <v>0</v>
          </cell>
          <cell r="D61">
            <v>0.15</v>
          </cell>
        </row>
        <row r="62">
          <cell r="B62" t="str">
            <v>J.T.O. System</v>
          </cell>
          <cell r="C62">
            <v>0</v>
          </cell>
          <cell r="D62">
            <v>0.15</v>
          </cell>
        </row>
        <row r="63">
          <cell r="B63" t="str">
            <v>X</v>
          </cell>
          <cell r="C63">
            <v>0</v>
          </cell>
          <cell r="D63">
            <v>0</v>
          </cell>
        </row>
        <row r="64">
          <cell r="B64" t="str">
            <v>XX</v>
          </cell>
          <cell r="C64">
            <v>0</v>
          </cell>
          <cell r="D64">
            <v>0</v>
          </cell>
        </row>
        <row r="65">
          <cell r="B65" t="str">
            <v>CATV Olomouc</v>
          </cell>
          <cell r="C65">
            <v>0</v>
          </cell>
          <cell r="D65">
            <v>0.12</v>
          </cell>
        </row>
        <row r="66">
          <cell r="B66" t="str">
            <v>el-servis
Spálovský</v>
          </cell>
          <cell r="C66">
            <v>0</v>
          </cell>
          <cell r="D66">
            <v>0.15</v>
          </cell>
        </row>
        <row r="67">
          <cell r="B67" t="str">
            <v>Danfoss</v>
          </cell>
          <cell r="C67">
            <v>0</v>
          </cell>
          <cell r="D67">
            <v>0.15</v>
          </cell>
        </row>
        <row r="68">
          <cell r="B68" t="str">
            <v>Remak
Trade a.s.</v>
          </cell>
          <cell r="C68">
            <v>0</v>
          </cell>
          <cell r="D68">
            <v>0.15</v>
          </cell>
        </row>
        <row r="69">
          <cell r="B69" t="str">
            <v>Landis &amp; Staefa</v>
          </cell>
          <cell r="C69">
            <v>0.3</v>
          </cell>
          <cell r="D69">
            <v>0.15</v>
          </cell>
        </row>
        <row r="70">
          <cell r="B70" t="str">
            <v>AutoCont</v>
          </cell>
          <cell r="C70">
            <v>0</v>
          </cell>
          <cell r="D70">
            <v>0.08</v>
          </cell>
        </row>
        <row r="71">
          <cell r="B71" t="str">
            <v>M+D</v>
          </cell>
          <cell r="C71">
            <v>0</v>
          </cell>
          <cell r="D71">
            <v>0.15</v>
          </cell>
        </row>
        <row r="72">
          <cell r="B72" t="str">
            <v>FINDER</v>
          </cell>
          <cell r="C72">
            <v>0</v>
          </cell>
          <cell r="D72">
            <v>0.15</v>
          </cell>
        </row>
        <row r="73">
          <cell r="B73" t="str">
            <v>RAMI cz s.r.o.</v>
          </cell>
          <cell r="C73">
            <v>0</v>
          </cell>
          <cell r="D73">
            <v>0.15</v>
          </cell>
        </row>
        <row r="74">
          <cell r="B74" t="str">
            <v>XXX</v>
          </cell>
          <cell r="C74">
            <v>0</v>
          </cell>
          <cell r="D74">
            <v>0.15</v>
          </cell>
        </row>
        <row r="75">
          <cell r="B75" t="str">
            <v>MAVE &amp; spol.</v>
          </cell>
          <cell r="C75">
            <v>0</v>
          </cell>
          <cell r="D75">
            <v>0.15</v>
          </cell>
        </row>
        <row r="76">
          <cell r="B76" t="str">
            <v>rozv</v>
          </cell>
          <cell r="C76">
            <v>0</v>
          </cell>
          <cell r="D76">
            <v>0</v>
          </cell>
        </row>
        <row r="77">
          <cell r="B77" t="str">
            <v>ZPA CZ Trutnov</v>
          </cell>
          <cell r="C77">
            <v>0</v>
          </cell>
          <cell r="D77">
            <v>0.12</v>
          </cell>
        </row>
        <row r="78">
          <cell r="B78" t="str">
            <v>SALTEK</v>
          </cell>
          <cell r="C78">
            <v>0</v>
          </cell>
          <cell r="D78">
            <v>0.15</v>
          </cell>
        </row>
        <row r="79">
          <cell r="B79" t="str">
            <v>BELIMO CZ</v>
          </cell>
          <cell r="C79">
            <v>0</v>
          </cell>
          <cell r="D79">
            <v>0.15</v>
          </cell>
        </row>
        <row r="80">
          <cell r="B80" t="str">
            <v>M&amp;D ELEKTRO</v>
          </cell>
          <cell r="C80">
            <v>0</v>
          </cell>
          <cell r="D80">
            <v>0.15</v>
          </cell>
        </row>
        <row r="81">
          <cell r="B81" t="str">
            <v>REGMET</v>
          </cell>
          <cell r="C81">
            <v>0</v>
          </cell>
          <cell r="D81">
            <v>0.15</v>
          </cell>
        </row>
        <row r="82">
          <cell r="B82" t="str">
            <v>ENBRA</v>
          </cell>
          <cell r="C82">
            <v>0</v>
          </cell>
          <cell r="D82">
            <v>0.15</v>
          </cell>
        </row>
        <row r="83">
          <cell r="B83" t="str">
            <v>AVOS
automation</v>
          </cell>
          <cell r="C83">
            <v>0</v>
          </cell>
          <cell r="D83">
            <v>0.15</v>
          </cell>
        </row>
        <row r="84">
          <cell r="B84" t="str">
            <v>Jablotron</v>
          </cell>
          <cell r="C84">
            <v>0</v>
          </cell>
          <cell r="D84">
            <v>0.15</v>
          </cell>
        </row>
        <row r="85">
          <cell r="B85" t="str">
            <v>Luka systém</v>
          </cell>
          <cell r="C85">
            <v>0</v>
          </cell>
          <cell r="D85">
            <v>0.15</v>
          </cell>
        </row>
        <row r="86">
          <cell r="B86" t="str">
            <v>PRO-REG</v>
          </cell>
          <cell r="C86">
            <v>0</v>
          </cell>
          <cell r="D86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dav"/>
      <sheetName val="KABELN "/>
      <sheetName val="KOTN"/>
      <sheetName val="RKOTN "/>
      <sheetName val="ROZVN"/>
      <sheetName val="KOT STEPN"/>
      <sheetName val="RKOT STEPN"/>
      <sheetName val="KOT STEPN(2)"/>
      <sheetName val="RKOT STEPN(2)"/>
      <sheetName val="103"/>
      <sheetName val="DATA"/>
      <sheetName val="obj. (2)"/>
      <sheetName val="obj. (3)"/>
    </sheetNames>
    <sheetDataSet>
      <sheetData sheetId="0" refreshError="1">
        <row r="1">
          <cell r="B1" t="str">
            <v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ZPA Nová Paka</v>
          </cell>
          <cell r="C6">
            <v>0.15</v>
          </cell>
          <cell r="D6">
            <v>0.15</v>
          </cell>
          <cell r="E6">
            <v>4.5</v>
          </cell>
        </row>
        <row r="7">
          <cell r="B7" t="str">
            <v>BD Sensors</v>
          </cell>
          <cell r="C7">
            <v>0.1</v>
          </cell>
          <cell r="D7">
            <v>0.12</v>
          </cell>
        </row>
        <row r="8">
          <cell r="B8" t="str">
            <v>CLAUHAN
Brno</v>
          </cell>
          <cell r="C8">
            <v>0</v>
          </cell>
          <cell r="D8">
            <v>0.3</v>
          </cell>
        </row>
        <row r="9">
          <cell r="B9" t="str">
            <v>Comel</v>
          </cell>
          <cell r="C9">
            <v>0</v>
          </cell>
          <cell r="D9">
            <v>0.15</v>
          </cell>
        </row>
        <row r="10">
          <cell r="B10" t="str">
            <v>DA Ostrava</v>
          </cell>
          <cell r="C10">
            <v>0</v>
          </cell>
          <cell r="D10">
            <v>0.15</v>
          </cell>
        </row>
        <row r="11">
          <cell r="B11" t="str">
            <v>dodávka 
investora</v>
          </cell>
          <cell r="C11">
            <v>0</v>
          </cell>
          <cell r="D11">
            <v>0</v>
          </cell>
        </row>
        <row r="12">
          <cell r="B12" t="str">
            <v>Eko-Ekviterm </v>
          </cell>
          <cell r="C12">
            <v>0.1</v>
          </cell>
          <cell r="D12">
            <v>0.15</v>
          </cell>
        </row>
        <row r="13">
          <cell r="B13" t="str">
            <v>Ekorex+
Nová Paka</v>
          </cell>
          <cell r="C13">
            <v>0.17</v>
          </cell>
          <cell r="D13">
            <v>0.21</v>
          </cell>
        </row>
        <row r="14">
          <cell r="B14" t="str">
            <v>Eleco</v>
          </cell>
          <cell r="C14">
            <v>0</v>
          </cell>
          <cell r="D14">
            <v>0.2</v>
          </cell>
        </row>
        <row r="15">
          <cell r="B15" t="str">
            <v>Elektram</v>
          </cell>
          <cell r="C15">
            <v>0.07</v>
          </cell>
          <cell r="D15">
            <v>0.15</v>
          </cell>
        </row>
        <row r="16">
          <cell r="B16" t="str">
            <v>Elektram/kab</v>
          </cell>
          <cell r="C16">
            <v>0</v>
          </cell>
          <cell r="D16">
            <v>0.2</v>
          </cell>
        </row>
        <row r="17">
          <cell r="B17" t="str">
            <v>Elektropřístroj
Písek</v>
          </cell>
          <cell r="C17">
            <v>0</v>
          </cell>
          <cell r="D17">
            <v>0.2</v>
          </cell>
        </row>
        <row r="18">
          <cell r="B18" t="str">
            <v>EP Písek</v>
          </cell>
          <cell r="C18">
            <v>0</v>
          </cell>
          <cell r="D18">
            <v>0.2</v>
          </cell>
        </row>
        <row r="19">
          <cell r="B19" t="str">
            <v>ENERGIE MaR</v>
          </cell>
          <cell r="C19">
            <v>0</v>
          </cell>
          <cell r="D19">
            <v>0</v>
          </cell>
        </row>
        <row r="20">
          <cell r="B20" t="str">
            <v>Entrelec</v>
          </cell>
          <cell r="C20">
            <v>0</v>
          </cell>
          <cell r="D20">
            <v>0.15</v>
          </cell>
        </row>
        <row r="21">
          <cell r="B21" t="str">
            <v>EO Pardubice</v>
          </cell>
          <cell r="C21">
            <v>0</v>
          </cell>
          <cell r="D21">
            <v>0.15</v>
          </cell>
        </row>
        <row r="22">
          <cell r="B22" t="str">
            <v>ERAB</v>
          </cell>
          <cell r="C22">
            <v>0</v>
          </cell>
          <cell r="D22">
            <v>0.15</v>
          </cell>
        </row>
        <row r="23">
          <cell r="B23" t="str">
            <v>F&amp;G</v>
          </cell>
          <cell r="C23">
            <v>0</v>
          </cell>
          <cell r="D23">
            <v>0.15</v>
          </cell>
        </row>
        <row r="24">
          <cell r="B24" t="str">
            <v>Groupe-
Schneider</v>
          </cell>
          <cell r="C24">
            <v>0</v>
          </cell>
          <cell r="D24">
            <v>0.08</v>
          </cell>
        </row>
        <row r="25">
          <cell r="B25" t="str">
            <v>HAKEL</v>
          </cell>
          <cell r="C25">
            <v>0.3</v>
          </cell>
          <cell r="D25">
            <v>0.3</v>
          </cell>
        </row>
        <row r="26">
          <cell r="B26" t="str">
            <v>Johnson 
Controls</v>
          </cell>
          <cell r="C26">
            <v>0.3</v>
          </cell>
          <cell r="D26">
            <v>0.12</v>
          </cell>
        </row>
        <row r="27">
          <cell r="B27" t="str">
            <v>Končar</v>
          </cell>
          <cell r="C27">
            <v>0</v>
          </cell>
          <cell r="D27">
            <v>0.15</v>
          </cell>
        </row>
        <row r="28">
          <cell r="B28" t="str">
            <v>LDM 
Č. Třebová</v>
          </cell>
          <cell r="C28">
            <v>0.18</v>
          </cell>
          <cell r="D28">
            <v>0.15</v>
          </cell>
        </row>
        <row r="29">
          <cell r="B29" t="str">
            <v>MARTECH
Hradec Králové</v>
          </cell>
          <cell r="C29">
            <v>0</v>
          </cell>
          <cell r="D29">
            <v>0.15</v>
          </cell>
        </row>
        <row r="30">
          <cell r="B30" t="str">
            <v>OEZ Letohrad</v>
          </cell>
          <cell r="C30">
            <v>0</v>
          </cell>
          <cell r="D30">
            <v>0.15</v>
          </cell>
        </row>
        <row r="31">
          <cell r="B31" t="str">
            <v>ostatní</v>
          </cell>
          <cell r="C31">
            <v>0</v>
          </cell>
          <cell r="D31">
            <v>0.15</v>
          </cell>
        </row>
        <row r="32">
          <cell r="B32" t="str">
            <v>PEVEKO
Boršice u B.</v>
          </cell>
          <cell r="C32">
            <v>0.1</v>
          </cell>
          <cell r="D32">
            <v>0.15</v>
          </cell>
        </row>
        <row r="33">
          <cell r="B33" t="str">
            <v>Remagg
Vyškov</v>
          </cell>
          <cell r="C33">
            <v>0</v>
          </cell>
          <cell r="D33">
            <v>0.15</v>
          </cell>
        </row>
        <row r="34">
          <cell r="B34" t="str">
            <v>SENSIT
Rožnov p. R.</v>
          </cell>
          <cell r="C34">
            <v>0.23</v>
          </cell>
          <cell r="D34">
            <v>0.25</v>
          </cell>
        </row>
        <row r="35">
          <cell r="B35" t="str">
            <v>Schrack</v>
          </cell>
          <cell r="C35">
            <v>0</v>
          </cell>
          <cell r="D35">
            <v>0.15</v>
          </cell>
        </row>
        <row r="36">
          <cell r="B36" t="str">
            <v>stávající</v>
          </cell>
          <cell r="C36">
            <v>0</v>
          </cell>
          <cell r="D36">
            <v>0</v>
          </cell>
        </row>
        <row r="37">
          <cell r="B37" t="str">
            <v>strojní
dodávka</v>
          </cell>
          <cell r="C37">
            <v>0</v>
          </cell>
          <cell r="D37">
            <v>0</v>
          </cell>
        </row>
        <row r="38">
          <cell r="B38" t="str">
            <v>Teco</v>
          </cell>
          <cell r="C38">
            <v>0</v>
          </cell>
          <cell r="D38">
            <v>0.12</v>
          </cell>
        </row>
        <row r="39">
          <cell r="B39" t="str">
            <v>Tecont</v>
          </cell>
          <cell r="C39">
            <v>0.18</v>
          </cell>
          <cell r="D39">
            <v>0.15</v>
          </cell>
        </row>
        <row r="40">
          <cell r="B40" t="str">
            <v>výroba roz.</v>
          </cell>
          <cell r="C40">
            <v>0</v>
          </cell>
          <cell r="D40">
            <v>0</v>
          </cell>
        </row>
        <row r="41">
          <cell r="B41" t="str">
            <v>ZPA Ekoreg
Ústí n/L</v>
          </cell>
          <cell r="C41">
            <v>0.1</v>
          </cell>
          <cell r="D41">
            <v>0.15</v>
          </cell>
        </row>
        <row r="42">
          <cell r="B42" t="str">
            <v>ZPA
Nová Paka</v>
          </cell>
          <cell r="C42">
            <v>0.15</v>
          </cell>
          <cell r="D42">
            <v>0.18</v>
          </cell>
        </row>
        <row r="43">
          <cell r="B43" t="str">
            <v>JSP
Nová Paka</v>
          </cell>
          <cell r="C43">
            <v>0</v>
          </cell>
          <cell r="D43">
            <v>0.15</v>
          </cell>
        </row>
        <row r="44">
          <cell r="B44" t="str">
            <v>ZPA Prešov</v>
          </cell>
          <cell r="C44">
            <v>0</v>
          </cell>
          <cell r="D44">
            <v>0.15</v>
          </cell>
        </row>
        <row r="45">
          <cell r="B45" t="str">
            <v>Ekorex Lázně
Bohdaneč</v>
          </cell>
          <cell r="C45">
            <v>0.15</v>
          </cell>
          <cell r="D45">
            <v>0.15</v>
          </cell>
        </row>
        <row r="46">
          <cell r="B46" t="str">
            <v>Raab Karcher</v>
          </cell>
          <cell r="C46">
            <v>0.36</v>
          </cell>
          <cell r="D46">
            <v>0.25</v>
          </cell>
        </row>
        <row r="47">
          <cell r="B47" t="str">
            <v>Axima</v>
          </cell>
          <cell r="C47">
            <v>0</v>
          </cell>
          <cell r="D47">
            <v>0.15</v>
          </cell>
        </row>
        <row r="48">
          <cell r="B48" t="str">
            <v>Merlin&amp;G</v>
          </cell>
          <cell r="C48">
            <v>0</v>
          </cell>
          <cell r="D48">
            <v>0.15</v>
          </cell>
        </row>
        <row r="49">
          <cell r="B49" t="str">
            <v>MaR Plus</v>
          </cell>
          <cell r="C49">
            <v>0</v>
          </cell>
          <cell r="D49">
            <v>0.2</v>
          </cell>
        </row>
        <row r="50">
          <cell r="B50" t="str">
            <v>ZPA Pečky</v>
          </cell>
          <cell r="C50">
            <v>0</v>
          </cell>
          <cell r="D50">
            <v>0.15</v>
          </cell>
        </row>
        <row r="51">
          <cell r="B51" t="str">
            <v>EESA
Lomnice n.P.</v>
          </cell>
          <cell r="C51">
            <v>0</v>
          </cell>
          <cell r="D51">
            <v>0.15</v>
          </cell>
        </row>
        <row r="52">
          <cell r="B52" t="str">
            <v>REMAG trade</v>
          </cell>
          <cell r="C52">
            <v>0</v>
          </cell>
          <cell r="D52">
            <v>0.15</v>
          </cell>
        </row>
        <row r="53">
          <cell r="B53" t="str">
            <v>LOGITRON</v>
          </cell>
          <cell r="C53">
            <v>0</v>
          </cell>
          <cell r="D53">
            <v>0.15</v>
          </cell>
        </row>
        <row r="54">
          <cell r="B54" t="str">
            <v>MIWA Praha</v>
          </cell>
          <cell r="C54">
            <v>0</v>
          </cell>
          <cell r="D54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ONT_3kolo"/>
      <sheetName val="prům_ckab (2)"/>
      <sheetName val="prům_ckab"/>
      <sheetName val="rozv"/>
      <sheetName val="BUILDING"/>
      <sheetName val="Nabídka"/>
      <sheetName val="Nabídka_výpočty"/>
      <sheetName val="Nabídka_výpočty_ŘS"/>
      <sheetName val="rm dle H "/>
      <sheetName val="Nabídka_H_z"/>
      <sheetName val="KASTT_H"/>
      <sheetName val="rm a ventily nab dle H "/>
      <sheetName val="rm a ventily nab dle H_z"/>
      <sheetName val="rm a ventily nab dle H  (2)"/>
      <sheetName val="AMIT"/>
      <sheetName val="DATA"/>
      <sheetName val="MON+KAB"/>
      <sheetName val="ŽLABY"/>
      <sheetName val="MON"/>
      <sheetName val="mont"/>
      <sheetName val="DATA_INSTR"/>
      <sheetName val="rozv_RKOT2"/>
      <sheetName val="Dodávky_3kolo"/>
      <sheetName val="PANKRAC_DOD_ÚPR1_3kolo"/>
      <sheetName val="PANKRAC_DOD_ÚPR1_2kolo"/>
      <sheetName val="BUILDING2náhrady"/>
      <sheetName val="PANKRAC_DOD_NAB2"/>
      <sheetName val="PankracAB_kabely"/>
      <sheetName val="PankracAB_kabely_NAB"/>
      <sheetName val="PankracAB_kabely_NAB2"/>
      <sheetName val="dodav"/>
      <sheetName val="DATA_ROZV"/>
      <sheetName val="rozv_RMARV7"/>
      <sheetName val="rozv_RMARCH"/>
      <sheetName val="rozv_RMARK"/>
      <sheetName val="rozv_RMAR02"/>
      <sheetName val="rozp"/>
      <sheetName val="RM"/>
      <sheetName val="PANKRAC_DOD"/>
      <sheetName val="PANKRAC_DOD_ÚPR1"/>
      <sheetName val="PANKRAC_DOD_ÚPR1_NAB"/>
      <sheetName val="PANKRAC_DOD_MONT"/>
      <sheetName val="PANKRAC_DOD_NAB"/>
      <sheetName val="rekap"/>
      <sheetName val="rozv_saia"/>
      <sheetName val="přehled"/>
      <sheetName val="rozp (2)"/>
      <sheetName val="rekap (2)"/>
      <sheetName val="rozp_specifikace"/>
      <sheetName val="rozp_specifikace_náhrady"/>
      <sheetName val="DATA_ROZV (2)"/>
      <sheetName val="rozv_VZT"/>
      <sheetName val="DATA_KAB"/>
      <sheetName val="ZPRAVA_spec (2)"/>
      <sheetName val="List1"/>
      <sheetName val="skříňky"/>
      <sheetName val="PANKRAC_NAB_3kolo_z"/>
      <sheetName val="Dodávky_3kolo (2)"/>
      <sheetName val="Dodávky_3kolo (3)"/>
      <sheetName val="PANKRAC_NAB_3kolo_z_opr4"/>
      <sheetName val="PANKRAC_NAB_3kolo_z_opr3"/>
      <sheetName val="PANKRAC_NAB_3kolo_z_opr"/>
      <sheetName val="PANKRAC_NAB_3kolo_z_opr2"/>
      <sheetName val="rozv_RMAR01"/>
      <sheetName val="rozv_RMAR2"/>
      <sheetName val="rozv_RMAR7"/>
      <sheetName val="rozv_RA"/>
      <sheetName val="MaR"/>
      <sheetName val="MaR (2)"/>
      <sheetName val="FRIGERA_NAB"/>
      <sheetName val="MONT_Frigera"/>
      <sheetName val="rozv_RMAR"/>
      <sheetName val="rozv_RKOT1"/>
      <sheetName val="rozv_RB"/>
      <sheetName val="rekapitulace_nab"/>
      <sheetName val="MaR (3)_z"/>
      <sheetName val="prům_ckab (3)"/>
      <sheetName val="DATA (2)"/>
      <sheetName val="OCS vejvoda rozp"/>
      <sheetName val="OCS vejvoda rozp_z"/>
      <sheetName val="Čechtice-rozp"/>
      <sheetName val="Čechtice-rozvaděč"/>
      <sheetName val="kabelák"/>
      <sheetName val="rozvaděč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">
          <cell r="D3" t="str">
            <v>DT1</v>
          </cell>
        </row>
        <row r="4">
          <cell r="C4">
            <v>1</v>
          </cell>
          <cell r="D4">
            <v>1</v>
          </cell>
        </row>
        <row r="5">
          <cell r="D5">
            <v>2</v>
          </cell>
        </row>
        <row r="6">
          <cell r="D6">
            <v>3</v>
          </cell>
        </row>
        <row r="7">
          <cell r="D7">
            <v>4</v>
          </cell>
        </row>
        <row r="8">
          <cell r="D8">
            <v>5</v>
          </cell>
        </row>
        <row r="9">
          <cell r="D9">
            <v>6</v>
          </cell>
        </row>
        <row r="10">
          <cell r="D10">
            <v>7</v>
          </cell>
        </row>
        <row r="11">
          <cell r="D11">
            <v>8</v>
          </cell>
        </row>
        <row r="12">
          <cell r="D12">
            <v>9</v>
          </cell>
        </row>
        <row r="13">
          <cell r="D13">
            <v>10</v>
          </cell>
        </row>
        <row r="14">
          <cell r="D14">
            <v>11</v>
          </cell>
        </row>
        <row r="15">
          <cell r="D15">
            <v>12</v>
          </cell>
        </row>
        <row r="16">
          <cell r="D16">
            <v>13</v>
          </cell>
        </row>
        <row r="17">
          <cell r="D17">
            <v>14</v>
          </cell>
        </row>
        <row r="18">
          <cell r="D18">
            <v>15</v>
          </cell>
        </row>
        <row r="19">
          <cell r="D19">
            <v>16</v>
          </cell>
        </row>
        <row r="21">
          <cell r="C21">
            <v>2</v>
          </cell>
          <cell r="D21">
            <v>18</v>
          </cell>
        </row>
        <row r="22">
          <cell r="D22">
            <v>19</v>
          </cell>
        </row>
        <row r="23">
          <cell r="D23">
            <v>20</v>
          </cell>
        </row>
        <row r="24">
          <cell r="D24">
            <v>21</v>
          </cell>
        </row>
        <row r="25">
          <cell r="D25">
            <v>22</v>
          </cell>
        </row>
        <row r="26">
          <cell r="D26">
            <v>23</v>
          </cell>
        </row>
        <row r="27">
          <cell r="D27">
            <v>24</v>
          </cell>
        </row>
        <row r="28">
          <cell r="D28">
            <v>25</v>
          </cell>
        </row>
        <row r="29">
          <cell r="D29">
            <v>26</v>
          </cell>
        </row>
        <row r="30">
          <cell r="D30">
            <v>27</v>
          </cell>
        </row>
        <row r="31">
          <cell r="D31">
            <v>28</v>
          </cell>
        </row>
        <row r="32">
          <cell r="D32">
            <v>29</v>
          </cell>
        </row>
        <row r="33">
          <cell r="D33">
            <v>30</v>
          </cell>
        </row>
        <row r="34">
          <cell r="D34">
            <v>31</v>
          </cell>
        </row>
        <row r="35">
          <cell r="D35">
            <v>32</v>
          </cell>
        </row>
        <row r="36">
          <cell r="D36">
            <v>33</v>
          </cell>
        </row>
        <row r="37">
          <cell r="D37">
            <v>34</v>
          </cell>
        </row>
        <row r="38">
          <cell r="D38">
            <v>35</v>
          </cell>
        </row>
        <row r="39">
          <cell r="D39">
            <v>36</v>
          </cell>
        </row>
        <row r="40">
          <cell r="D40">
            <v>37</v>
          </cell>
        </row>
        <row r="42">
          <cell r="C42">
            <v>3</v>
          </cell>
          <cell r="D42">
            <v>38</v>
          </cell>
        </row>
        <row r="43">
          <cell r="D43">
            <v>39</v>
          </cell>
        </row>
        <row r="44">
          <cell r="D44">
            <v>40</v>
          </cell>
        </row>
        <row r="45">
          <cell r="D45">
            <v>41</v>
          </cell>
        </row>
        <row r="46">
          <cell r="D46">
            <v>42</v>
          </cell>
        </row>
        <row r="47">
          <cell r="D47">
            <v>43</v>
          </cell>
        </row>
        <row r="48">
          <cell r="D48">
            <v>44</v>
          </cell>
        </row>
        <row r="49">
          <cell r="D49">
            <v>45</v>
          </cell>
        </row>
        <row r="50">
          <cell r="D50">
            <v>46</v>
          </cell>
        </row>
        <row r="51">
          <cell r="D51">
            <v>47</v>
          </cell>
        </row>
        <row r="52">
          <cell r="D52">
            <v>48</v>
          </cell>
        </row>
        <row r="53">
          <cell r="D53">
            <v>49</v>
          </cell>
        </row>
        <row r="54">
          <cell r="D54">
            <v>50</v>
          </cell>
        </row>
        <row r="55">
          <cell r="D55">
            <v>51</v>
          </cell>
        </row>
        <row r="56">
          <cell r="D56">
            <v>52</v>
          </cell>
        </row>
        <row r="57">
          <cell r="D57">
            <v>53</v>
          </cell>
        </row>
        <row r="58">
          <cell r="D58">
            <v>54</v>
          </cell>
        </row>
        <row r="59">
          <cell r="D59">
            <v>55</v>
          </cell>
        </row>
        <row r="60">
          <cell r="D60">
            <v>56</v>
          </cell>
        </row>
        <row r="61">
          <cell r="D61">
            <v>57</v>
          </cell>
        </row>
        <row r="63">
          <cell r="C63">
            <v>4</v>
          </cell>
          <cell r="D63">
            <v>58</v>
          </cell>
        </row>
        <row r="64">
          <cell r="D64">
            <v>59</v>
          </cell>
        </row>
        <row r="65">
          <cell r="D65">
            <v>60</v>
          </cell>
        </row>
        <row r="66">
          <cell r="D66">
            <v>61</v>
          </cell>
        </row>
        <row r="67">
          <cell r="D67">
            <v>62</v>
          </cell>
        </row>
        <row r="68">
          <cell r="D68">
            <v>63</v>
          </cell>
        </row>
        <row r="69">
          <cell r="D69">
            <v>64</v>
          </cell>
        </row>
        <row r="70">
          <cell r="D70">
            <v>65</v>
          </cell>
        </row>
        <row r="71">
          <cell r="D71">
            <v>66</v>
          </cell>
        </row>
        <row r="72">
          <cell r="D72">
            <v>67</v>
          </cell>
        </row>
        <row r="73">
          <cell r="D73">
            <v>68</v>
          </cell>
        </row>
        <row r="74">
          <cell r="D74">
            <v>69</v>
          </cell>
        </row>
        <row r="75">
          <cell r="D75">
            <v>70</v>
          </cell>
        </row>
        <row r="76">
          <cell r="D76">
            <v>71</v>
          </cell>
        </row>
        <row r="77">
          <cell r="D77">
            <v>72</v>
          </cell>
        </row>
        <row r="78">
          <cell r="D78">
            <v>73</v>
          </cell>
        </row>
        <row r="79">
          <cell r="D79">
            <v>74</v>
          </cell>
        </row>
        <row r="80">
          <cell r="D80">
            <v>75</v>
          </cell>
        </row>
        <row r="81">
          <cell r="D81">
            <v>76</v>
          </cell>
        </row>
        <row r="82">
          <cell r="D82">
            <v>77</v>
          </cell>
        </row>
        <row r="84">
          <cell r="C84">
            <v>5</v>
          </cell>
          <cell r="D84">
            <v>78</v>
          </cell>
        </row>
        <row r="85">
          <cell r="D85">
            <v>79</v>
          </cell>
        </row>
        <row r="86">
          <cell r="D86">
            <v>80</v>
          </cell>
        </row>
        <row r="87">
          <cell r="D87">
            <v>81</v>
          </cell>
        </row>
        <row r="88">
          <cell r="D88">
            <v>82</v>
          </cell>
        </row>
        <row r="89">
          <cell r="D89">
            <v>83</v>
          </cell>
        </row>
        <row r="90">
          <cell r="D90">
            <v>84</v>
          </cell>
        </row>
        <row r="91">
          <cell r="D91">
            <v>85</v>
          </cell>
        </row>
        <row r="92">
          <cell r="D92">
            <v>86</v>
          </cell>
        </row>
        <row r="93">
          <cell r="D93">
            <v>87</v>
          </cell>
        </row>
        <row r="94">
          <cell r="D94">
            <v>88</v>
          </cell>
        </row>
        <row r="95">
          <cell r="D95">
            <v>89</v>
          </cell>
        </row>
        <row r="96">
          <cell r="D96">
            <v>90</v>
          </cell>
        </row>
        <row r="97">
          <cell r="D97">
            <v>91</v>
          </cell>
        </row>
        <row r="98">
          <cell r="D98">
            <v>92</v>
          </cell>
        </row>
        <row r="99">
          <cell r="D99">
            <v>93</v>
          </cell>
        </row>
        <row r="100">
          <cell r="D100">
            <v>94</v>
          </cell>
        </row>
        <row r="101">
          <cell r="D101">
            <v>95</v>
          </cell>
        </row>
        <row r="102">
          <cell r="D102">
            <v>96</v>
          </cell>
        </row>
        <row r="103">
          <cell r="D103">
            <v>97</v>
          </cell>
        </row>
        <row r="105">
          <cell r="C105">
            <v>6</v>
          </cell>
          <cell r="D105">
            <v>98</v>
          </cell>
        </row>
        <row r="106">
          <cell r="D106">
            <v>99</v>
          </cell>
        </row>
        <row r="107">
          <cell r="D107">
            <v>100</v>
          </cell>
        </row>
        <row r="108">
          <cell r="D108">
            <v>101</v>
          </cell>
        </row>
        <row r="109">
          <cell r="D109">
            <v>102</v>
          </cell>
        </row>
        <row r="110">
          <cell r="D110">
            <v>103</v>
          </cell>
        </row>
        <row r="111">
          <cell r="D111">
            <v>104</v>
          </cell>
        </row>
        <row r="112">
          <cell r="D112">
            <v>105</v>
          </cell>
        </row>
        <row r="113">
          <cell r="D113">
            <v>106</v>
          </cell>
        </row>
        <row r="114">
          <cell r="D114">
            <v>107</v>
          </cell>
        </row>
        <row r="115">
          <cell r="D115">
            <v>108</v>
          </cell>
        </row>
        <row r="116">
          <cell r="D116">
            <v>109</v>
          </cell>
        </row>
        <row r="117">
          <cell r="D117">
            <v>110</v>
          </cell>
        </row>
        <row r="118">
          <cell r="D118">
            <v>111</v>
          </cell>
        </row>
        <row r="119">
          <cell r="D119">
            <v>112</v>
          </cell>
        </row>
        <row r="120">
          <cell r="D120">
            <v>113</v>
          </cell>
        </row>
        <row r="121">
          <cell r="D121">
            <v>114</v>
          </cell>
        </row>
        <row r="122">
          <cell r="D122">
            <v>115</v>
          </cell>
        </row>
        <row r="123">
          <cell r="D123">
            <v>116</v>
          </cell>
        </row>
        <row r="124">
          <cell r="D124">
            <v>117</v>
          </cell>
        </row>
        <row r="126">
          <cell r="C126">
            <v>7</v>
          </cell>
          <cell r="D126">
            <v>118</v>
          </cell>
        </row>
        <row r="127">
          <cell r="D127">
            <v>119</v>
          </cell>
        </row>
        <row r="128">
          <cell r="D128">
            <v>120</v>
          </cell>
        </row>
        <row r="129">
          <cell r="D129">
            <v>121</v>
          </cell>
        </row>
        <row r="130">
          <cell r="D130">
            <v>122</v>
          </cell>
        </row>
        <row r="131">
          <cell r="D131">
            <v>123</v>
          </cell>
        </row>
        <row r="132">
          <cell r="D132">
            <v>124</v>
          </cell>
        </row>
        <row r="133">
          <cell r="D133">
            <v>125</v>
          </cell>
        </row>
        <row r="134">
          <cell r="D134">
            <v>126</v>
          </cell>
        </row>
        <row r="135">
          <cell r="D135">
            <v>127</v>
          </cell>
        </row>
        <row r="136">
          <cell r="D136">
            <v>128</v>
          </cell>
        </row>
        <row r="137">
          <cell r="D137">
            <v>129</v>
          </cell>
        </row>
        <row r="138">
          <cell r="D138">
            <v>130</v>
          </cell>
        </row>
        <row r="139">
          <cell r="D139">
            <v>131</v>
          </cell>
        </row>
        <row r="140">
          <cell r="D140">
            <v>132</v>
          </cell>
        </row>
        <row r="141">
          <cell r="D141">
            <v>133</v>
          </cell>
        </row>
        <row r="142">
          <cell r="D142">
            <v>134</v>
          </cell>
        </row>
        <row r="143">
          <cell r="D143">
            <v>135</v>
          </cell>
        </row>
        <row r="144">
          <cell r="D144">
            <v>136</v>
          </cell>
        </row>
        <row r="145">
          <cell r="D145">
            <v>137</v>
          </cell>
        </row>
        <row r="147">
          <cell r="C147">
            <v>8</v>
          </cell>
          <cell r="D147">
            <v>138</v>
          </cell>
        </row>
        <row r="148">
          <cell r="D148">
            <v>139</v>
          </cell>
        </row>
        <row r="149">
          <cell r="D149">
            <v>140</v>
          </cell>
        </row>
        <row r="150">
          <cell r="D150">
            <v>141</v>
          </cell>
        </row>
        <row r="151">
          <cell r="D151">
            <v>142</v>
          </cell>
        </row>
        <row r="152">
          <cell r="D152">
            <v>143</v>
          </cell>
        </row>
        <row r="153">
          <cell r="D153">
            <v>144</v>
          </cell>
        </row>
        <row r="154">
          <cell r="D154">
            <v>145</v>
          </cell>
        </row>
        <row r="155">
          <cell r="D155">
            <v>146</v>
          </cell>
        </row>
        <row r="156">
          <cell r="D156">
            <v>147</v>
          </cell>
        </row>
        <row r="157">
          <cell r="D157">
            <v>148</v>
          </cell>
        </row>
        <row r="158">
          <cell r="D158">
            <v>149</v>
          </cell>
        </row>
        <row r="159">
          <cell r="D159">
            <v>150</v>
          </cell>
        </row>
        <row r="160">
          <cell r="D160">
            <v>151</v>
          </cell>
        </row>
        <row r="161">
          <cell r="D161">
            <v>152</v>
          </cell>
        </row>
        <row r="162">
          <cell r="D162">
            <v>153</v>
          </cell>
        </row>
        <row r="163">
          <cell r="D163">
            <v>154</v>
          </cell>
        </row>
        <row r="164">
          <cell r="D164">
            <v>155</v>
          </cell>
        </row>
        <row r="165">
          <cell r="D165">
            <v>156</v>
          </cell>
        </row>
        <row r="166">
          <cell r="D166">
            <v>157</v>
          </cell>
        </row>
        <row r="168">
          <cell r="C168">
            <v>9</v>
          </cell>
          <cell r="D168">
            <v>158</v>
          </cell>
        </row>
        <row r="169">
          <cell r="D169">
            <v>159</v>
          </cell>
        </row>
        <row r="170">
          <cell r="D170">
            <v>160</v>
          </cell>
        </row>
        <row r="171">
          <cell r="D171">
            <v>161</v>
          </cell>
        </row>
        <row r="172">
          <cell r="D172">
            <v>162</v>
          </cell>
        </row>
        <row r="173">
          <cell r="D173">
            <v>163</v>
          </cell>
        </row>
        <row r="174">
          <cell r="D174">
            <v>164</v>
          </cell>
        </row>
        <row r="175">
          <cell r="D175">
            <v>165</v>
          </cell>
        </row>
        <row r="176">
          <cell r="D176">
            <v>166</v>
          </cell>
        </row>
        <row r="177">
          <cell r="D177">
            <v>167</v>
          </cell>
        </row>
        <row r="178">
          <cell r="D178">
            <v>168</v>
          </cell>
        </row>
        <row r="179">
          <cell r="D179">
            <v>169</v>
          </cell>
        </row>
        <row r="180">
          <cell r="D180">
            <v>170</v>
          </cell>
        </row>
        <row r="181">
          <cell r="D181">
            <v>171</v>
          </cell>
        </row>
        <row r="182">
          <cell r="D182">
            <v>172</v>
          </cell>
        </row>
        <row r="183">
          <cell r="D183">
            <v>173</v>
          </cell>
        </row>
        <row r="184">
          <cell r="D184">
            <v>174</v>
          </cell>
        </row>
        <row r="185">
          <cell r="D185">
            <v>175</v>
          </cell>
        </row>
        <row r="186">
          <cell r="D186">
            <v>176</v>
          </cell>
        </row>
        <row r="187">
          <cell r="D187">
            <v>177</v>
          </cell>
        </row>
        <row r="189">
          <cell r="C189">
            <v>10</v>
          </cell>
          <cell r="D189">
            <v>178</v>
          </cell>
        </row>
        <row r="190">
          <cell r="D190">
            <v>179</v>
          </cell>
        </row>
        <row r="191">
          <cell r="D191">
            <v>180</v>
          </cell>
        </row>
        <row r="192">
          <cell r="D192">
            <v>181</v>
          </cell>
        </row>
        <row r="193">
          <cell r="D193">
            <v>182</v>
          </cell>
        </row>
        <row r="194">
          <cell r="D194">
            <v>183</v>
          </cell>
        </row>
        <row r="195">
          <cell r="D195">
            <v>184</v>
          </cell>
        </row>
        <row r="196">
          <cell r="D196">
            <v>185</v>
          </cell>
        </row>
        <row r="197">
          <cell r="D197">
            <v>186</v>
          </cell>
        </row>
        <row r="198">
          <cell r="D198">
            <v>187</v>
          </cell>
        </row>
        <row r="199">
          <cell r="D199">
            <v>188</v>
          </cell>
        </row>
        <row r="200">
          <cell r="D200">
            <v>189</v>
          </cell>
        </row>
        <row r="270">
          <cell r="D270">
            <v>189</v>
          </cell>
        </row>
        <row r="272">
          <cell r="B272">
            <v>11</v>
          </cell>
          <cell r="C272" t="str">
            <v>D K+MM</v>
          </cell>
          <cell r="D272">
            <v>19</v>
          </cell>
        </row>
        <row r="273">
          <cell r="B273">
            <v>11</v>
          </cell>
          <cell r="C273" t="str">
            <v>M K+MM</v>
          </cell>
          <cell r="D273">
            <v>20</v>
          </cell>
        </row>
        <row r="275">
          <cell r="C275" t="str">
            <v>Instrumentace</v>
          </cell>
          <cell r="D275">
            <v>250</v>
          </cell>
        </row>
        <row r="276">
          <cell r="C276" t="str">
            <v>Instr ostat</v>
          </cell>
          <cell r="D276">
            <v>160</v>
          </cell>
        </row>
        <row r="277">
          <cell r="C277" t="str">
            <v>instr speciál</v>
          </cell>
          <cell r="D277">
            <v>600</v>
          </cell>
        </row>
        <row r="278">
          <cell r="C278" t="str">
            <v>rozv</v>
          </cell>
          <cell r="D278">
            <v>1200</v>
          </cell>
        </row>
        <row r="280">
          <cell r="C280" t="str">
            <v>SW</v>
          </cell>
          <cell r="D280">
            <v>350</v>
          </cell>
        </row>
        <row r="282">
          <cell r="C282" t="str">
            <v>ČM pi</v>
          </cell>
        </row>
        <row r="283">
          <cell r="C283" t="str">
            <v>ČM celkem</v>
          </cell>
        </row>
        <row r="286">
          <cell r="C286" t="str">
            <v>Revize, zkoušky, zaškolení obsluhy, spolupráce při oživení</v>
          </cell>
          <cell r="D286">
            <v>90</v>
          </cell>
        </row>
        <row r="287">
          <cell r="C287" t="str">
            <v>nebo</v>
          </cell>
          <cell r="D287">
            <v>0.3</v>
          </cell>
        </row>
        <row r="288">
          <cell r="C288" t="str">
            <v>základ</v>
          </cell>
          <cell r="D288">
            <v>1200</v>
          </cell>
        </row>
        <row r="292">
          <cell r="C292" t="str">
            <v>VRN</v>
          </cell>
          <cell r="D292" t="str">
            <v>réžie</v>
          </cell>
        </row>
        <row r="293">
          <cell r="C293" t="str">
            <v>VRN</v>
          </cell>
          <cell r="D293">
            <v>2000</v>
          </cell>
        </row>
        <row r="294">
          <cell r="C294" t="str">
            <v>VRN</v>
          </cell>
        </row>
        <row r="295">
          <cell r="C295" t="str">
            <v>VRN</v>
          </cell>
          <cell r="D295" t="str">
            <v>současnost</v>
          </cell>
        </row>
        <row r="296">
          <cell r="C296" t="str">
            <v>VRN</v>
          </cell>
          <cell r="D296">
            <v>4</v>
          </cell>
        </row>
        <row r="297">
          <cell r="C297" t="str">
            <v>VRN</v>
          </cell>
        </row>
        <row r="298">
          <cell r="C298" t="str">
            <v>VRN</v>
          </cell>
          <cell r="D298" t="str">
            <v>km</v>
          </cell>
        </row>
        <row r="299">
          <cell r="D299">
            <v>170</v>
          </cell>
        </row>
        <row r="302">
          <cell r="C302" t="str">
            <v>D K+MM</v>
          </cell>
          <cell r="D302">
            <v>23</v>
          </cell>
        </row>
        <row r="303">
          <cell r="C303" t="str">
            <v>M K+MM</v>
          </cell>
          <cell r="D303">
            <v>21</v>
          </cell>
        </row>
      </sheetData>
      <sheetData sheetId="20" refreshError="1">
        <row r="4">
          <cell r="C4" t="str">
            <v>provedení do potrubí, délka 160mm, IP54</v>
          </cell>
          <cell r="D4">
            <v>1754</v>
          </cell>
        </row>
        <row r="5">
          <cell r="B5" t="str">
            <v>A13I-160 T1/T2</v>
          </cell>
          <cell r="C5" t="str">
            <v>Odporový snímač teploty s kovovou halvicí A13I-160
provedení do potrubí, rozsah 0°C až 35°C
výstup 4 - 20 mA, délka jímky 160 mm</v>
          </cell>
          <cell r="D5" t="str">
            <v>REGMET</v>
          </cell>
          <cell r="E5">
            <v>1754</v>
          </cell>
          <cell r="F5">
            <v>19</v>
          </cell>
        </row>
        <row r="6">
          <cell r="B6" t="str">
            <v>Indukční průtokoměr DN 250</v>
          </cell>
          <cell r="C6" t="str">
            <v>Indukční průtokoměr DN 250, PN 16, provedení D/K
s příslušenstvím, 230V/50Hz
médium - demivoda, teplota 5 až 28 °C
výstelka, výstup 4 - 20 mA a impulsní</v>
          </cell>
          <cell r="D6" t="str">
            <v>KROHNE</v>
          </cell>
          <cell r="E6">
            <v>112608</v>
          </cell>
          <cell r="F6">
            <v>80</v>
          </cell>
        </row>
        <row r="7">
          <cell r="B7" t="str">
            <v>JET 23 F</v>
          </cell>
          <cell r="C7" t="str">
            <v>Prostorový termostat JET 23 F, rozsah -15...+30 C, dif. 1 K , 15A/250V, IP 65, vnitřní nastavení</v>
          </cell>
          <cell r="D7" t="str">
            <v>SENTRON CZ</v>
          </cell>
          <cell r="E7">
            <v>1400</v>
          </cell>
          <cell r="F7">
            <v>50</v>
          </cell>
        </row>
        <row r="8">
          <cell r="B8" t="str">
            <v>P11I T1/T2</v>
          </cell>
          <cell r="C8" t="str">
            <v>Snímač teploty venkovní P11I T1/T2
rozsah -30°C až 60°C, výstup 4 - 20 mA</v>
          </cell>
          <cell r="D8" t="str">
            <v>REGMET</v>
          </cell>
          <cell r="E8">
            <v>1220</v>
          </cell>
          <cell r="F8">
            <v>19</v>
          </cell>
        </row>
        <row r="9">
          <cell r="B9" t="str">
            <v>EGH120F001</v>
          </cell>
          <cell r="C9" t="str">
            <v>Čidlo rel. vl. (0-10V) prostorové EGH120F001 </v>
          </cell>
          <cell r="D9" t="str">
            <v>Sauter</v>
          </cell>
          <cell r="E9">
            <v>7174</v>
          </cell>
          <cell r="F9">
            <v>50</v>
          </cell>
        </row>
        <row r="11">
          <cell r="B11" t="str">
            <v>DMP 331 110-1602-1-5-1-1-1-000 přísl.</v>
          </cell>
          <cell r="C11" t="str">
            <v>Relativní snímač tlaku DMP 331
110-1602-1-5-1-1-1-000
rozsah 0…16 bar
výstup 4…20 mA/2 v
přesnost 0,5 %
elektrické připojení konektor DIN 43650
přípojka tlaku G1/2"
těsnění Viton
normální provedení
manometrický kohout, redukce,
vyhlazovací smyčka, tlumič </v>
          </cell>
          <cell r="D11" t="str">
            <v>BD Sensors</v>
          </cell>
          <cell r="E11">
            <v>10229</v>
          </cell>
          <cell r="F11">
            <v>162</v>
          </cell>
        </row>
        <row r="12">
          <cell r="C12" t="str">
            <v>Tlakoměrový kohout</v>
          </cell>
          <cell r="D12" t="str">
            <v>JSP
Nová Paka</v>
          </cell>
        </row>
        <row r="13">
          <cell r="C13" t="str">
            <v>Redukce</v>
          </cell>
          <cell r="D13" t="str">
            <v>JSP
Nová Paka</v>
          </cell>
        </row>
        <row r="14">
          <cell r="C14" t="str">
            <v>Tlumič tlakových rázů TTR</v>
          </cell>
          <cell r="D14" t="str">
            <v>BD Sensors</v>
          </cell>
        </row>
        <row r="15">
          <cell r="C15" t="str">
            <v>zobrazovací jednotka PA430</v>
          </cell>
          <cell r="D15" t="str">
            <v>BD Sensors</v>
          </cell>
        </row>
        <row r="17">
          <cell r="B17" t="str">
            <v>LD 301 H5 600 kPa</v>
          </cell>
          <cell r="C17" t="str">
            <v>Inteligentní snímač diferenčního tlaku LD301
rozsah 600 kPa
výstup 4…20 mA/2 v
držák, šroubení
vč. třícestné ventilové soupravy</v>
          </cell>
          <cell r="D17" t="str">
            <v>BD Sensors</v>
          </cell>
          <cell r="E17">
            <v>40231</v>
          </cell>
          <cell r="F17">
            <v>285</v>
          </cell>
        </row>
        <row r="18">
          <cell r="C18" t="str">
            <v>materiákl příruby nerez</v>
          </cell>
        </row>
        <row r="20">
          <cell r="C20" t="str">
            <v>nastavení</v>
          </cell>
        </row>
        <row r="21">
          <cell r="C21" t="str">
            <v>Třícestná ventilová souprava</v>
          </cell>
          <cell r="D21" t="str">
            <v>JSP
Nová Paka</v>
          </cell>
        </row>
        <row r="22">
          <cell r="C22" t="str">
            <v>Vsuvka</v>
          </cell>
          <cell r="D22" t="str">
            <v>JSP
Nová Paka</v>
          </cell>
        </row>
        <row r="23">
          <cell r="C23" t="str">
            <v>Šrouby</v>
          </cell>
          <cell r="D23" t="str">
            <v>JSP
Nová Paka</v>
          </cell>
        </row>
        <row r="24">
          <cell r="C24" t="str">
            <v>Držák na stěnu</v>
          </cell>
          <cell r="D24" t="str">
            <v>JSP
Nová Paka</v>
          </cell>
        </row>
        <row r="26">
          <cell r="B26" t="str">
            <v>DMP 331 110-6001-1-5-1-5-1-000
</v>
          </cell>
          <cell r="C26" t="str">
            <v>Snímač tlaku DMP 331
110-6001-1-5-1-5-1-000
rozsah 0…6 bar
výstup 4…20 mA/2 v
přesnost 0,5 %
elektrické připojení konektor DIN 43650
přípojka tlaku M 20 x 1,5 DIN 3852
těsnění Viton
normální provedení
manometrický kohout, redukce,
vyhlazovací smyčka, tlum</v>
          </cell>
          <cell r="D26" t="str">
            <v>BD Sensors</v>
          </cell>
          <cell r="E26">
            <v>10229</v>
          </cell>
          <cell r="F26">
            <v>162</v>
          </cell>
        </row>
        <row r="27">
          <cell r="C27" t="str">
            <v>Tlakoměrový kohout</v>
          </cell>
          <cell r="D27" t="str">
            <v>JSP
Nová Paka</v>
          </cell>
        </row>
        <row r="28">
          <cell r="C28" t="str">
            <v>Redukce</v>
          </cell>
          <cell r="D28" t="str">
            <v>JSP
Nová Paka</v>
          </cell>
        </row>
        <row r="29">
          <cell r="C29" t="str">
            <v>Tlumič tlakových rázů TTR</v>
          </cell>
          <cell r="D29" t="str">
            <v>BD Sensors</v>
          </cell>
        </row>
        <row r="30">
          <cell r="C30" t="str">
            <v>zobrazovací jednotka PA430</v>
          </cell>
          <cell r="D30" t="str">
            <v>BD Sensors</v>
          </cell>
        </row>
        <row r="32">
          <cell r="B32" t="str">
            <v>DMP 331 110-2500-1-5-1-5-1-000
</v>
          </cell>
          <cell r="C32" t="str">
            <v>Snímač tlaku DMP 331
110-2500-1-5-1-5-1-000
rozsah 0…0,20 bar
výstup 4…20 mA/2 v
přesnost 0,5 %
elektrické připojení konektor DIN 43650
přípojka tlaku M 20 x 1,5 DIN 3852
těsnění Viton
normální provedení
manometrický kohout, redukce,
vyhlazovací smyčka, t</v>
          </cell>
          <cell r="D32" t="str">
            <v>BD Sensors</v>
          </cell>
          <cell r="E32">
            <v>11229</v>
          </cell>
          <cell r="F32">
            <v>162</v>
          </cell>
        </row>
        <row r="33">
          <cell r="C33" t="str">
            <v>Tlakoměrový kohout</v>
          </cell>
          <cell r="D33" t="str">
            <v>JSP
Nová Paka</v>
          </cell>
        </row>
        <row r="34">
          <cell r="C34" t="str">
            <v>Redukce</v>
          </cell>
          <cell r="D34" t="str">
            <v>JSP
Nová Paka</v>
          </cell>
        </row>
        <row r="35">
          <cell r="C35" t="str">
            <v>Tlumič tlakových rázů TTR</v>
          </cell>
          <cell r="D35" t="str">
            <v>BD Sensors</v>
          </cell>
        </row>
        <row r="36">
          <cell r="C36" t="str">
            <v>zobrazovací jednotka PA430</v>
          </cell>
          <cell r="D36" t="str">
            <v>BD Sensors</v>
          </cell>
        </row>
        <row r="38">
          <cell r="B38" t="str">
            <v>RTL100</v>
          </cell>
          <cell r="C38" t="str">
            <v>405 612 146 032
Regulátor tlaku vlnovcový
provedení T 23
kontakty v provedení "A"
rozsah10 až 100 kPa
manometrický kohout, redukce,
vyhlazovací smyčka, tlumič tlakových rázů</v>
          </cell>
          <cell r="D38" t="str">
            <v>ZPA Ekoreg
Ústí n/L</v>
          </cell>
          <cell r="E38">
            <v>2479</v>
          </cell>
          <cell r="F38">
            <v>154</v>
          </cell>
        </row>
        <row r="39">
          <cell r="C39" t="str">
            <v>Tlakoměrový kohout</v>
          </cell>
          <cell r="D39" t="str">
            <v>JSP
Nová Paka</v>
          </cell>
        </row>
        <row r="40">
          <cell r="C40" t="str">
            <v>Redukce</v>
          </cell>
          <cell r="D40" t="str">
            <v>JSP
Nová Paka</v>
          </cell>
        </row>
        <row r="41">
          <cell r="C41" t="str">
            <v>Tlumič tlakových rázů TTR</v>
          </cell>
          <cell r="D41" t="str">
            <v>BD Sensors</v>
          </cell>
        </row>
        <row r="44">
          <cell r="B44" t="str">
            <v>112 851 147</v>
          </cell>
          <cell r="C44" t="str">
            <v>Odporový snímač teploty kabelový párovaný
typ 112 851 147
stíněný kabel 4m, provedení 4 drát, třída přesnosti 4,
vč.jímky nerez 100 mm, závit G1/2" 911 091 056</v>
          </cell>
          <cell r="D44" t="str">
            <v>JSP
Nová Paka</v>
          </cell>
          <cell r="E44">
            <v>2530</v>
          </cell>
          <cell r="F44">
            <v>19</v>
          </cell>
        </row>
        <row r="45">
          <cell r="C45" t="str">
            <v>2x jímka nerez 100 mm, závit G1/2" 911 091 056</v>
          </cell>
        </row>
        <row r="46">
          <cell r="B46" t="str">
            <v>PT021 131 021</v>
          </cell>
          <cell r="C46" t="str">
            <v>Programovatelný dvouvodičový převodník teploty
s digitální indikací PT021, typ 131 021,
provedení na stěnu, vč. nastavovací jenotky NJ12</v>
          </cell>
          <cell r="D46" t="str">
            <v>JSP
Nová Paka</v>
          </cell>
          <cell r="E46">
            <v>2960</v>
          </cell>
          <cell r="F46">
            <v>70</v>
          </cell>
        </row>
        <row r="47">
          <cell r="C47" t="str">
            <v>s diplejem</v>
          </cell>
        </row>
        <row r="48">
          <cell r="C48" t="str">
            <v>provedení na stěnu</v>
          </cell>
        </row>
        <row r="49">
          <cell r="C49" t="str">
            <v>Nastavovací jenotky NJ-12</v>
          </cell>
        </row>
        <row r="51">
          <cell r="B51" t="str">
            <v>RV 102 ELB 6311-16/140-40 jako
</v>
          </cell>
          <cell r="C51" t="str">
            <v>Trojcestný směšovací ventil DN 40, PN 16
závitové provedení, teplota média 130 stC,
charakteristika ekviprocentní
vč, el. pohonu 24VAC, 0-10V</v>
          </cell>
          <cell r="D51" t="str">
            <v>LDM 
Č. Třebová</v>
          </cell>
          <cell r="E51">
            <v>12800</v>
          </cell>
          <cell r="F51">
            <v>80</v>
          </cell>
        </row>
        <row r="52">
          <cell r="B52" t="str">
            <v>RV 102 ELB 6311-16/140-40
</v>
          </cell>
          <cell r="C52" t="str">
            <v>Regulační ventil RV 102 L, DN 40, PN 16
RV 102 ELB 6311-16/140-40
s el. pohonem SQX 62, 24 VAC
řízení 0 ... 10 V
provedení přírubové trojcestné směšovací
materiál tělesa šedá litina
průtočná charakteristika lineární, Kvs = 25 m3/h</v>
          </cell>
          <cell r="D52" t="str">
            <v>LDM 
Č. Třebová</v>
          </cell>
          <cell r="E52">
            <v>12800</v>
          </cell>
          <cell r="F52">
            <v>80</v>
          </cell>
        </row>
        <row r="54">
          <cell r="B54" t="str">
            <v>R250, DN 50, PN 16, NR 24-3
2-bod., PK</v>
          </cell>
          <cell r="C54" t="str">
            <v>Kulový kohout DN 50, PN 16
s el. sevopohonem NR 24-3, 
3-bod., polohový spínač</v>
          </cell>
          <cell r="D54" t="str">
            <v>BELIMO kul.k.</v>
          </cell>
          <cell r="E54">
            <v>10702</v>
          </cell>
          <cell r="F54">
            <v>80</v>
          </cell>
        </row>
        <row r="55">
          <cell r="B55" t="str">
            <v>SNR</v>
          </cell>
          <cell r="C55" t="str">
            <v>1 pomocný přepínací kontakt vestavěný k pohonům LF</v>
          </cell>
        </row>
        <row r="57">
          <cell r="B57" t="str">
            <v>RV213,PN16,DN100,24V,0-10V,hf</v>
          </cell>
          <cell r="C57" t="str">
            <v>Regulační ventil přímý RV 215, PN 16, DN 100,
char. ekviprocentní
s hydraulickým pohonem, řízení 0 - 10V, havarijní funkce</v>
          </cell>
          <cell r="D57" t="str">
            <v>LDM 
Č. Třebová</v>
          </cell>
          <cell r="E57">
            <v>85500</v>
          </cell>
          <cell r="F57">
            <v>50</v>
          </cell>
        </row>
        <row r="60">
          <cell r="B60" t="str">
            <v>Analyzátor1</v>
          </cell>
          <cell r="C60" t="str">
            <v>Programovatelný průmyslový analyzátor vodivosti,
provedení venkovní, IP 65
napájení 230V/50Hz, vč. sondy s kompenzací teploty
s kabelem 5m do potrubí, kompletní příslušenství, jímka
výstup 2x am¨nalogobý 4-20 mA</v>
          </cell>
          <cell r="D60" t="str">
            <v>ostatní</v>
          </cell>
          <cell r="E60">
            <v>60000</v>
          </cell>
          <cell r="F60">
            <v>250</v>
          </cell>
        </row>
        <row r="62">
          <cell r="B62" t="str">
            <v>KlapkaDN50+Belimo</v>
          </cell>
          <cell r="C62" t="str">
            <v>Klapka DN 50,   PN16,  typ 620B050,
vč. servopohonu Belimo 24 VAC, 3. bod. , polohový spínač</v>
          </cell>
          <cell r="D62" t="str">
            <v>ostatní</v>
          </cell>
          <cell r="E62">
            <v>4529</v>
          </cell>
          <cell r="F62">
            <v>80</v>
          </cell>
        </row>
        <row r="64">
          <cell r="B64" t="str">
            <v>DBK-AM</v>
          </cell>
          <cell r="C64" t="str">
            <v>držák servopohonu BELIMO AM</v>
          </cell>
        </row>
        <row r="65">
          <cell r="B65" t="str">
            <v>AM 24-S</v>
          </cell>
          <cell r="C65" t="str">
            <v>24V, 3-polohová regulace, dva pomocné kontakty </v>
          </cell>
        </row>
        <row r="67">
          <cell r="B67" t="str">
            <v>sol.v.DN25</v>
          </cell>
          <cell r="C67" t="str">
            <v>Soleniodový ventil DN 25, PN 6, cívka 230V/50Hz
bez napětí uzavřen</v>
          </cell>
          <cell r="D67" t="str">
            <v>ostatní</v>
          </cell>
          <cell r="E67">
            <v>2800</v>
          </cell>
          <cell r="F67">
            <v>50</v>
          </cell>
        </row>
        <row r="69">
          <cell r="B69" t="str">
            <v>čtop1</v>
          </cell>
          <cell r="C69" t="str">
            <v>Oběhové čerpadlo top .vody
230 VAC</v>
          </cell>
          <cell r="D69" t="str">
            <v>strojní
dodávka</v>
          </cell>
          <cell r="E69">
            <v>0</v>
          </cell>
          <cell r="F69">
            <v>50</v>
          </cell>
        </row>
        <row r="70">
          <cell r="B70" t="str">
            <v>čtop3</v>
          </cell>
          <cell r="C70" t="str">
            <v>Oběhové čerpadlo top .vody
3 x 400/230 VAC</v>
          </cell>
          <cell r="D70" t="str">
            <v>strojní
dodávka</v>
          </cell>
          <cell r="E70">
            <v>0</v>
          </cell>
          <cell r="F70">
            <v>80</v>
          </cell>
        </row>
        <row r="71">
          <cell r="B71" t="str">
            <v>čtuvtop1</v>
          </cell>
          <cell r="C71" t="str">
            <v>Oběhové čerpadlo top. v. pro ohř. TUV
230 VAC</v>
          </cell>
          <cell r="D71" t="str">
            <v>strojní
dodávka</v>
          </cell>
          <cell r="E71">
            <v>0</v>
          </cell>
          <cell r="F71">
            <v>50</v>
          </cell>
        </row>
        <row r="72">
          <cell r="B72" t="str">
            <v>čtuvtop3</v>
          </cell>
          <cell r="C72" t="str">
            <v>Oběhové čerpadlo top. v. pro ohř. TUV
3 x 400/230 VAC</v>
          </cell>
          <cell r="D72" t="str">
            <v>strojní
dodávka</v>
          </cell>
          <cell r="E72">
            <v>0</v>
          </cell>
          <cell r="F72">
            <v>80</v>
          </cell>
        </row>
        <row r="73">
          <cell r="B73" t="str">
            <v>očtop1,SSM</v>
          </cell>
          <cell r="C73" t="str">
            <v>Oběhové čerpadlo top .vody
230 VAC
tepelná ochrana SSM</v>
          </cell>
          <cell r="D73" t="str">
            <v>strojní
dodávka</v>
          </cell>
          <cell r="E73">
            <v>0</v>
          </cell>
          <cell r="F73">
            <v>70</v>
          </cell>
        </row>
        <row r="74">
          <cell r="B74" t="str">
            <v>očtop3, SSM</v>
          </cell>
          <cell r="C74" t="str">
            <v>Oběhové čerpadlo top .vody
3 x 400/230 VAC</v>
          </cell>
          <cell r="D74" t="str">
            <v>strojní
dodávka</v>
          </cell>
          <cell r="E74">
            <v>0</v>
          </cell>
          <cell r="F74">
            <v>100</v>
          </cell>
        </row>
        <row r="75">
          <cell r="B75" t="str">
            <v>očtop3</v>
          </cell>
          <cell r="C75" t="str">
            <v>Oběhové čerpadlo top .vody
3 x 400/230 VAC</v>
          </cell>
          <cell r="D75" t="str">
            <v>strojní
dodávka</v>
          </cell>
          <cell r="E75">
            <v>0</v>
          </cell>
          <cell r="F75">
            <v>80</v>
          </cell>
        </row>
        <row r="76">
          <cell r="B76" t="str">
            <v>očtuvtop1</v>
          </cell>
          <cell r="C76" t="str">
            <v>Oběhové čerpadlo top. v. pro ohř. TUV
230 VAC</v>
          </cell>
          <cell r="D76" t="str">
            <v>strojní
dodávka</v>
          </cell>
          <cell r="E76">
            <v>0</v>
          </cell>
          <cell r="F76">
            <v>50</v>
          </cell>
        </row>
        <row r="77">
          <cell r="B77" t="str">
            <v>očtuvtop1, SSM</v>
          </cell>
          <cell r="C77" t="str">
            <v>Oběhové čerpadlo top. v. pro ohř. TUV
230 VAC</v>
          </cell>
          <cell r="D77" t="str">
            <v>strojní
dodávka</v>
          </cell>
          <cell r="E77">
            <v>0</v>
          </cell>
          <cell r="F77">
            <v>80</v>
          </cell>
        </row>
        <row r="78">
          <cell r="B78" t="str">
            <v>očtuvtop3</v>
          </cell>
          <cell r="C78" t="str">
            <v>Oběhové čerpadlo top. v. pro ohř. TUV
3 x 400/230 VAC</v>
          </cell>
          <cell r="D78" t="str">
            <v>strojní
dodávka</v>
          </cell>
          <cell r="E78">
            <v>0</v>
          </cell>
          <cell r="F78">
            <v>80</v>
          </cell>
        </row>
        <row r="79">
          <cell r="B79" t="str">
            <v>očtop1</v>
          </cell>
          <cell r="C79" t="str">
            <v>Oběhové čerpadlo top .vody
230 VAC</v>
          </cell>
          <cell r="D79" t="str">
            <v>strojní
dodávka</v>
          </cell>
          <cell r="E79">
            <v>0</v>
          </cell>
          <cell r="F79">
            <v>50</v>
          </cell>
        </row>
        <row r="80">
          <cell r="B80" t="str">
            <v>očtop1stáv</v>
          </cell>
          <cell r="C80" t="str">
            <v>Oběhové čerpadlo top .vody
230 VAC</v>
          </cell>
          <cell r="D80" t="str">
            <v>stávající</v>
          </cell>
          <cell r="E80">
            <v>0</v>
          </cell>
        </row>
        <row r="81">
          <cell r="B81" t="str">
            <v>očtop3stáv</v>
          </cell>
          <cell r="C81" t="str">
            <v>Oběhové čerpadlo top .vody
3 x 400/230 VAC</v>
          </cell>
          <cell r="D81" t="str">
            <v>stávající</v>
          </cell>
          <cell r="E81">
            <v>0</v>
          </cell>
        </row>
        <row r="82">
          <cell r="B82" t="str">
            <v>očtuvtop1stáv</v>
          </cell>
          <cell r="C82" t="str">
            <v>Oběhové čerpadlo top. v. pro ohř. TUV
230 VAC</v>
          </cell>
          <cell r="D82" t="str">
            <v>stávající</v>
          </cell>
          <cell r="E82">
            <v>0</v>
          </cell>
        </row>
        <row r="83">
          <cell r="B83" t="str">
            <v>očtuvtop3stáv</v>
          </cell>
          <cell r="C83" t="str">
            <v>Oběhové čerpadlo top. v. pro ohř. TUV
3 x 400/230 VAC</v>
          </cell>
          <cell r="D83" t="str">
            <v>stávající</v>
          </cell>
          <cell r="E83">
            <v>0</v>
          </cell>
        </row>
        <row r="84">
          <cell r="B84" t="str">
            <v>cirkTUV3</v>
          </cell>
          <cell r="C84" t="str">
            <v>Cirkulační čerpadlo TUV
3 x 400/230 VAC</v>
          </cell>
          <cell r="D84" t="str">
            <v>strojní
dodávka</v>
          </cell>
          <cell r="E84">
            <v>0</v>
          </cell>
          <cell r="F84">
            <v>80</v>
          </cell>
        </row>
        <row r="85">
          <cell r="B85" t="str">
            <v>cirkTUV1</v>
          </cell>
          <cell r="C85" t="str">
            <v>Cirkulační čerpadlo TUV
230 VAC</v>
          </cell>
          <cell r="D85" t="str">
            <v>strojní
dodávka</v>
          </cell>
          <cell r="E85">
            <v>0</v>
          </cell>
          <cell r="F85">
            <v>50</v>
          </cell>
        </row>
        <row r="86">
          <cell r="B86" t="str">
            <v>cirkTUV1, SSM</v>
          </cell>
          <cell r="C86" t="str">
            <v>Cirkulační čerpadlo TUV
230 VAC</v>
          </cell>
          <cell r="D86" t="str">
            <v>strojní
dodávka</v>
          </cell>
          <cell r="E86">
            <v>0</v>
          </cell>
          <cell r="F86">
            <v>80</v>
          </cell>
        </row>
        <row r="87">
          <cell r="B87" t="str">
            <v>Ventilátor 1f</v>
          </cell>
          <cell r="C87" t="str">
            <v>Ventilátor 1f</v>
          </cell>
          <cell r="D87" t="str">
            <v>strojní
dodávka</v>
          </cell>
          <cell r="E87">
            <v>0</v>
          </cell>
          <cell r="F87">
            <v>50</v>
          </cell>
        </row>
        <row r="88">
          <cell r="A88" t="str">
            <v>Zásuvka 230V/10 A sv/tm. šedá</v>
          </cell>
          <cell r="B88" t="str">
            <v>Zás</v>
          </cell>
          <cell r="C88" t="str">
            <v>Zásuvka 230V/10 A sv/tm. Šedá</v>
          </cell>
          <cell r="D88" t="str">
            <v>E</v>
          </cell>
          <cell r="E88">
            <v>80</v>
          </cell>
          <cell r="F88">
            <v>40</v>
          </cell>
        </row>
        <row r="89">
          <cell r="B89" t="str">
            <v>RA2J-2_6180</v>
          </cell>
          <cell r="C89" t="str">
            <v>Teplotní snímač v zakázkovém pouzdru typ RA2J-2
typ čidla Ni 1000/6180 ppm, dvojvodičové připojení
pozdro typ RA, kabel 2m</v>
          </cell>
          <cell r="D89" t="str">
            <v>REGMET</v>
          </cell>
          <cell r="E89">
            <v>456</v>
          </cell>
          <cell r="F89">
            <v>19</v>
          </cell>
        </row>
        <row r="90">
          <cell r="B90" t="str">
            <v>RA2S-2_6180</v>
          </cell>
          <cell r="C90" t="str">
            <v>Teplotní snímač v zakázkovém pouzdru typ RA2S-2
typ čidla Ni 1000/6180 ppm, dvojvodičové připojení
pozdro typ RA2, průměr 6 mm, ponor 50 mm
závit M10 x 1,5, kabel 2m</v>
          </cell>
          <cell r="D90" t="str">
            <v>REGMET</v>
          </cell>
          <cell r="E90">
            <v>456</v>
          </cell>
          <cell r="F90">
            <v>19</v>
          </cell>
        </row>
        <row r="91">
          <cell r="B91" t="str">
            <v>RA2S-2_6180</v>
          </cell>
          <cell r="C91" t="str">
            <v>Teplotní snímač v zakázkovém pouzdru typ RA2S-2
typ čidla Ni 1000/6180 ppm, dvojvodičové připojení
pozdro typ RA2, průměr 6 mm, ponor 50 mm
závit M10 x 1,5, kabel 2m</v>
          </cell>
          <cell r="D91" t="str">
            <v>REGMET</v>
          </cell>
          <cell r="E91">
            <v>456</v>
          </cell>
          <cell r="F91">
            <v>19</v>
          </cell>
        </row>
        <row r="92">
          <cell r="B92" t="str">
            <v>P13S150-100</v>
          </cell>
          <cell r="C92" t="str">
            <v>Odporový snímač teploty do potrubí P13S150-100
typ čidla Ni 1000/6180 ppm
rozsah -30°C až 150°C
délka jímky 100 mm</v>
          </cell>
          <cell r="D92" t="str">
            <v>REGMET</v>
          </cell>
          <cell r="E92">
            <v>856</v>
          </cell>
          <cell r="F92">
            <v>19</v>
          </cell>
        </row>
        <row r="93">
          <cell r="B93" t="str">
            <v>P13S150-160</v>
          </cell>
          <cell r="C93" t="str">
            <v>Odporový snímač teploty do potrubí P13S150-160
typ čidla Ni 1000/6180 ppm
rozsah -30°C až 150°C
délka jímky 160 mm</v>
          </cell>
          <cell r="D93" t="str">
            <v>REGMET</v>
          </cell>
          <cell r="E93">
            <v>877</v>
          </cell>
          <cell r="F93">
            <v>19</v>
          </cell>
        </row>
        <row r="94">
          <cell r="B94" t="str">
            <v>P13S150-220</v>
          </cell>
          <cell r="C94" t="str">
            <v>Odporový snímač teploty do potrubí P13S150-220
typ čidla Ni 1000/6180 ppm
rozsah -30°C až 150°C
délka jímky 220 mm</v>
          </cell>
          <cell r="D94" t="str">
            <v>REGMET</v>
          </cell>
          <cell r="E94">
            <v>893</v>
          </cell>
          <cell r="F94">
            <v>19</v>
          </cell>
        </row>
        <row r="95">
          <cell r="B95" t="str">
            <v>P12PA-180</v>
          </cell>
          <cell r="C95" t="str">
            <v>Odporový snímač teploty do klimatizace P12PA-180
typ čidla Pt 1000/3850 ppm
rozsah -30°C až 250°C
délka jímky 180 mm</v>
          </cell>
          <cell r="D95" t="str">
            <v>REGMET</v>
          </cell>
          <cell r="E95">
            <v>698</v>
          </cell>
          <cell r="F95">
            <v>19</v>
          </cell>
        </row>
        <row r="96">
          <cell r="B96" t="str">
            <v>P12S-240</v>
          </cell>
          <cell r="C96" t="str">
            <v>Odporový snímač teploty do klimatizace P12S-240
typ čidla Ni 1000/6180 ppm
rozsah -30°C až 250°C
délka jímky 220 mm</v>
          </cell>
          <cell r="D96" t="str">
            <v>REGMET</v>
          </cell>
          <cell r="E96">
            <v>693</v>
          </cell>
          <cell r="F96">
            <v>19</v>
          </cell>
        </row>
        <row r="97">
          <cell r="B97" t="str">
            <v>P14S</v>
          </cell>
          <cell r="C97" t="str">
            <v>Odporový snímač teploty příložný s hlavicí P14S
typ čidla Ni 1000/6180 ppm
rozsah -30°C až 120°C</v>
          </cell>
          <cell r="D97" t="str">
            <v>REGMET</v>
          </cell>
          <cell r="E97">
            <v>693</v>
          </cell>
          <cell r="F97">
            <v>19</v>
          </cell>
        </row>
        <row r="98">
          <cell r="B98" t="str">
            <v>P11S</v>
          </cell>
          <cell r="C98" t="str">
            <v>Odporový snímač teploty venkovní P11S
typ čidla Ni 1000/6180 ppm
rozsah -30°C až 80°C</v>
          </cell>
          <cell r="D98" t="str">
            <v>REGMET</v>
          </cell>
          <cell r="E98">
            <v>667</v>
          </cell>
          <cell r="F98">
            <v>19</v>
          </cell>
        </row>
        <row r="99">
          <cell r="B99" t="str">
            <v>P10S</v>
          </cell>
          <cell r="C99" t="str">
            <v>Odporový snímač teploty interiérový P10S
typ čidla Ni 1000/6180 ppm
rozsah -30°C až 80°C</v>
          </cell>
          <cell r="D99" t="str">
            <v>REGMET</v>
          </cell>
          <cell r="E99">
            <v>305</v>
          </cell>
          <cell r="F99">
            <v>19</v>
          </cell>
        </row>
        <row r="100">
          <cell r="B100" t="str">
            <v>SK4S1</v>
          </cell>
          <cell r="C100" t="str">
            <v>Odporový snímač teploty s kabelovým vývodem SK4S-1
typ čidla Ni 1000/6180 ppm
rozsah -30°C až 80°C</v>
          </cell>
          <cell r="D100" t="str">
            <v>REGMET</v>
          </cell>
          <cell r="E100">
            <v>265</v>
          </cell>
          <cell r="F100">
            <v>19</v>
          </cell>
        </row>
        <row r="101">
          <cell r="B101" t="str">
            <v>P13I-100 0/150</v>
          </cell>
          <cell r="C101" t="str">
            <v>Snímač teploty do potrubí s proudovým výstupem  P13I-100 0/150
rozsah 0°C až 150°C
délka jímky 100 mm</v>
          </cell>
          <cell r="D101" t="str">
            <v>REGMET</v>
          </cell>
          <cell r="E101">
            <v>1670</v>
          </cell>
          <cell r="F101">
            <v>19</v>
          </cell>
        </row>
        <row r="103">
          <cell r="B103" t="str">
            <v>P12L-180</v>
          </cell>
          <cell r="C103" t="str">
            <v>Odporový snímač teploty do klimatizace P12L250-180
typ čidla Ni 1000/5000 ppm
rozsah -30°C až 250°C
délka 180 mm</v>
          </cell>
          <cell r="D103" t="str">
            <v>REGMET</v>
          </cell>
          <cell r="E103">
            <v>698</v>
          </cell>
          <cell r="F103">
            <v>19</v>
          </cell>
        </row>
        <row r="104">
          <cell r="B104" t="str">
            <v>P12L150-220</v>
          </cell>
          <cell r="C104" t="str">
            <v>Odporový snímač teploty do potrubí P12L150-220
typ čidla Ni 1000/5000 ppm
rozsah -30°C až 150°C
délka jímky 220 mm</v>
          </cell>
          <cell r="D104" t="str">
            <v>REGMET</v>
          </cell>
          <cell r="E104">
            <v>893</v>
          </cell>
          <cell r="F104">
            <v>19</v>
          </cell>
        </row>
        <row r="105">
          <cell r="C105" t="str">
            <v>Montážní materiál</v>
          </cell>
        </row>
        <row r="107">
          <cell r="B107" t="str">
            <v>DK+MK</v>
          </cell>
          <cell r="C107" t="str">
            <v>Celoplastové kabely s Cu jádrem</v>
          </cell>
          <cell r="D107" t="str">
            <v>E</v>
          </cell>
          <cell r="E107">
            <v>9</v>
          </cell>
          <cell r="F107">
            <v>2.5</v>
          </cell>
        </row>
        <row r="108">
          <cell r="B108" t="str">
            <v>DMM+MMM</v>
          </cell>
          <cell r="C108" t="str">
            <v>Montážní a elektroinstalační materiál</v>
          </cell>
          <cell r="D108" t="str">
            <v>E</v>
          </cell>
          <cell r="E108">
            <v>14</v>
          </cell>
          <cell r="F108">
            <v>3</v>
          </cell>
        </row>
        <row r="113">
          <cell r="B113" t="str">
            <v>Úprava stáv. roz.</v>
          </cell>
          <cell r="C113" t="str">
            <v>Úprava stávajícího rozvaděče</v>
          </cell>
          <cell r="D113" t="str">
            <v>E</v>
          </cell>
          <cell r="F113">
            <v>50</v>
          </cell>
        </row>
        <row r="114">
          <cell r="B114" t="str">
            <v>mont.DELTA C.</v>
          </cell>
          <cell r="C114" t="str">
            <v>Montáž a připojení rozvaděče DELTA CONTROL 2000</v>
          </cell>
          <cell r="D114" t="str">
            <v>E</v>
          </cell>
          <cell r="F114">
            <v>800</v>
          </cell>
        </row>
        <row r="115">
          <cell r="B115" t="str">
            <v>mont.DELTA C.2</v>
          </cell>
          <cell r="C115" t="str">
            <v>Montáž a připojení rozvaděče DELTA CONTROL 2000</v>
          </cell>
          <cell r="D115" t="str">
            <v>E</v>
          </cell>
          <cell r="F115">
            <v>300</v>
          </cell>
        </row>
        <row r="116">
          <cell r="B116" t="str">
            <v>Připojení čerpadla s FM</v>
          </cell>
          <cell r="C116" t="str">
            <v>Připojení čerpadla s FM</v>
          </cell>
          <cell r="D116" t="str">
            <v>E</v>
          </cell>
          <cell r="F116">
            <v>180</v>
          </cell>
        </row>
        <row r="117">
          <cell r="B117" t="str">
            <v>Připojení čerpadla s FM2</v>
          </cell>
          <cell r="C117" t="str">
            <v>Připojení čerpadla s FM</v>
          </cell>
          <cell r="D117" t="str">
            <v>E</v>
          </cell>
          <cell r="F117">
            <v>120</v>
          </cell>
        </row>
        <row r="118">
          <cell r="A118" t="str">
            <v>Software1</v>
          </cell>
          <cell r="B118" t="str">
            <v>úpr. Software</v>
          </cell>
          <cell r="C118" t="str">
            <v>Úprava stávajícího software ekv. regulace</v>
          </cell>
          <cell r="D118" t="str">
            <v>E</v>
          </cell>
          <cell r="F118">
            <v>100</v>
          </cell>
        </row>
        <row r="120">
          <cell r="A120" t="str">
            <v>Oživ, uved do pr</v>
          </cell>
          <cell r="B120" t="str">
            <v>Oživ, uved do pr</v>
          </cell>
          <cell r="C120" t="str">
            <v>Oživení, uvedení do provozu</v>
          </cell>
          <cell r="D120" t="str">
            <v>E</v>
          </cell>
          <cell r="E120">
            <v>180</v>
          </cell>
        </row>
        <row r="121">
          <cell r="A121" t="str">
            <v>revize</v>
          </cell>
          <cell r="B121" t="str">
            <v>revize</v>
          </cell>
          <cell r="C121" t="str">
            <v>Výchozí revize</v>
          </cell>
          <cell r="D121" t="str">
            <v>E</v>
          </cell>
          <cell r="E121">
            <v>250</v>
          </cell>
        </row>
        <row r="124">
          <cell r="A124" t="str">
            <v>Zkusebni provoz</v>
          </cell>
          <cell r="C124" t="str">
            <v>Zkusebni provoz</v>
          </cell>
          <cell r="E124">
            <v>150</v>
          </cell>
        </row>
        <row r="125">
          <cell r="A125" t="str">
            <v>Zauceni obsluhy</v>
          </cell>
          <cell r="C125" t="str">
            <v>Zauceni obsluhy</v>
          </cell>
          <cell r="E125">
            <v>250</v>
          </cell>
        </row>
        <row r="126">
          <cell r="A126" t="str">
            <v>Demontaz stavajiciho zarizeni</v>
          </cell>
          <cell r="C126" t="str">
            <v>Demontaz stavajiciho zarizeni</v>
          </cell>
          <cell r="E126">
            <v>150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A129" t="str">
            <v>S ostatnimi profesemi</v>
          </cell>
          <cell r="C129" t="str">
            <v>S ostatnimi profesemi</v>
          </cell>
          <cell r="E129">
            <v>250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A133" t="str">
            <v>Revizni technik</v>
          </cell>
          <cell r="C133" t="str">
            <v>Revizni technik</v>
          </cell>
          <cell r="E133">
            <v>250</v>
          </cell>
        </row>
        <row r="134">
          <cell r="A134" t="str">
            <v>Montaz rozvadece na OPS</v>
          </cell>
          <cell r="C134" t="str">
            <v>Montaz rozvadece na OPS</v>
          </cell>
          <cell r="E134">
            <v>150</v>
          </cell>
        </row>
        <row r="135">
          <cell r="A135" t="str">
            <v>Aplikační SW SU+VR</v>
          </cell>
          <cell r="C135" t="str">
            <v>Aplikační SW SU+VR</v>
          </cell>
          <cell r="E135">
            <v>400</v>
          </cell>
        </row>
        <row r="138">
          <cell r="B138" t="str">
            <v>kotell2st_ovl</v>
          </cell>
          <cell r="C138" t="str">
            <v>Zapojení ovládání 2. st. kotle</v>
          </cell>
          <cell r="D138" t="str">
            <v>E</v>
          </cell>
          <cell r="F138">
            <v>120</v>
          </cell>
        </row>
        <row r="139">
          <cell r="B139" t="str">
            <v>silpřip_1f</v>
          </cell>
          <cell r="C139" t="str">
            <v>Silové připojení 1f kotle</v>
          </cell>
          <cell r="D139" t="str">
            <v>E</v>
          </cell>
          <cell r="F139">
            <v>50</v>
          </cell>
        </row>
        <row r="141">
          <cell r="B141" t="str">
            <v>RHV02</v>
          </cell>
          <cell r="C141" t="str">
            <v>Regulátor hladiny a el. vod. kapalin RHV 02</v>
          </cell>
          <cell r="D141" t="str">
            <v>ZPA Ekoreg
Ústí n/L</v>
          </cell>
          <cell r="E141">
            <v>1220</v>
          </cell>
          <cell r="F141">
            <v>60</v>
          </cell>
        </row>
        <row r="142">
          <cell r="B142" t="str">
            <v>SZ1</v>
          </cell>
          <cell r="C142" t="str">
            <v>405 613 106 954
Elektroda SZ1</v>
          </cell>
          <cell r="D142" t="str">
            <v>ZPA Ekoreg
Ústí n/L</v>
          </cell>
          <cell r="E142">
            <v>190</v>
          </cell>
          <cell r="F142">
            <v>30</v>
          </cell>
        </row>
        <row r="143">
          <cell r="B143" t="str">
            <v>RTPA20-40N22</v>
          </cell>
          <cell r="C143" t="str">
            <v>405 611 130 014
Regulátor teploty prostorový
provedení N22
kontakty v provedení "A"
rozsah 20 až 60 stC</v>
          </cell>
          <cell r="D143" t="str">
            <v>ZPA Ekoreg
Ústí n/L</v>
          </cell>
          <cell r="E143">
            <v>1150</v>
          </cell>
          <cell r="F143">
            <v>70</v>
          </cell>
        </row>
        <row r="144">
          <cell r="B144" t="str">
            <v>RAR 87501</v>
          </cell>
          <cell r="C144" t="str">
            <v>Omezovací termostat příložný RAR 87501</v>
          </cell>
          <cell r="D144" t="str">
            <v>Eberle</v>
          </cell>
          <cell r="E144">
            <v>560</v>
          </cell>
          <cell r="F144">
            <v>50</v>
          </cell>
        </row>
        <row r="145">
          <cell r="B145" t="str">
            <v>RTL250</v>
          </cell>
          <cell r="C145" t="str">
            <v>405 612 146 031
Regulátor tlaku vlnovcový
provedení T 23
kontakty v provedení "A"
rozsah 25 až 250 kPa</v>
          </cell>
          <cell r="D145" t="str">
            <v>ZPA Ekoreg
Ústí n/L</v>
          </cell>
          <cell r="E145">
            <v>1180</v>
          </cell>
          <cell r="F145">
            <v>70</v>
          </cell>
        </row>
        <row r="146">
          <cell r="B146" t="str">
            <v>Tlak_kohout</v>
          </cell>
          <cell r="C146" t="str">
            <v>Tlakoměrný kohout</v>
          </cell>
          <cell r="D146" t="str">
            <v>JSP
Nová Paka</v>
          </cell>
          <cell r="E146">
            <v>400</v>
          </cell>
          <cell r="F146">
            <v>30</v>
          </cell>
        </row>
        <row r="147">
          <cell r="B147" t="str">
            <v>HTL_zámek</v>
          </cell>
          <cell r="C147" t="str">
            <v>Havarijní tlačítko se zámkem</v>
          </cell>
          <cell r="D147" t="str">
            <v>EP Písek</v>
          </cell>
          <cell r="E147">
            <v>800</v>
          </cell>
          <cell r="F147">
            <v>50</v>
          </cell>
        </row>
        <row r="149">
          <cell r="B149" t="str">
            <v>GI30-2001</v>
          </cell>
          <cell r="C149" t="str">
            <v>Detektor úniku výbušných plynů GAS GI30</v>
          </cell>
          <cell r="D149" t="str">
            <v>J.T.O. System</v>
          </cell>
          <cell r="E149">
            <v>2900</v>
          </cell>
          <cell r="F149">
            <v>70</v>
          </cell>
        </row>
        <row r="150">
          <cell r="B150" t="str">
            <v>GAS EEx SNV1 GI31</v>
          </cell>
          <cell r="C150" t="str">
            <v>Detektor úniku výbušných plynů GAS GI31 pro prostředí ZONA2</v>
          </cell>
          <cell r="D150" t="str">
            <v>J.T.O. System</v>
          </cell>
          <cell r="E150">
            <v>3700</v>
          </cell>
          <cell r="F150">
            <v>70</v>
          </cell>
        </row>
        <row r="151">
          <cell r="B151" t="str">
            <v>Napájecí zdroj NZ 12 DIN</v>
          </cell>
          <cell r="C151" t="str">
            <v>Napájecí zdroj NZ 12 - DIN</v>
          </cell>
          <cell r="D151" t="str">
            <v>J.T.O. System</v>
          </cell>
          <cell r="E151">
            <v>1500</v>
          </cell>
        </row>
        <row r="152">
          <cell r="B152" t="str">
            <v>RTK70140</v>
          </cell>
          <cell r="C152" t="str">
            <v>405 611 266 052
Regulátor teploty kapilárový
provedení T23
kontakty v provedení "A"
rozsah 70 až 140 stC
kapilára 2,5 m
405 961 014 116
Mosazná ochranná jímka</v>
          </cell>
          <cell r="D152" t="str">
            <v>ZPA Ekoreg
Ústí n/L</v>
          </cell>
          <cell r="E152">
            <v>1250</v>
          </cell>
          <cell r="F152">
            <v>70</v>
          </cell>
        </row>
        <row r="154">
          <cell r="B154" t="str">
            <v>PVA 82.3</v>
          </cell>
          <cell r="C154" t="str">
            <v>Poruchová signalizace PVA 82.3</v>
          </cell>
          <cell r="D154" t="str">
            <v>BOLA-Siemens1</v>
          </cell>
          <cell r="E154">
            <v>3830</v>
          </cell>
        </row>
        <row r="155">
          <cell r="B155" t="str">
            <v>HZ-01</v>
          </cell>
          <cell r="C155" t="str">
            <v>Regulátor hladiny HZ-01pro krátkodobou detekci kapalin (havarijní hlášení), 24V</v>
          </cell>
          <cell r="D155" t="str">
            <v>BOLA-AM TECHNIC LINE</v>
          </cell>
          <cell r="E155">
            <v>580</v>
          </cell>
          <cell r="F155">
            <v>60</v>
          </cell>
        </row>
        <row r="156">
          <cell r="B156" t="str">
            <v>SE-1</v>
          </cell>
          <cell r="C156" t="str">
            <v>Sdružený dvojsondový snímač hladiny SE-1 (nerez) /v krabici/ </v>
          </cell>
          <cell r="D156" t="str">
            <v>BOLA-AM TECHNIC LINE</v>
          </cell>
          <cell r="E156">
            <v>80</v>
          </cell>
          <cell r="F156">
            <v>30</v>
          </cell>
        </row>
        <row r="157">
          <cell r="B157" t="str">
            <v>604.91</v>
          </cell>
          <cell r="C157" t="str">
            <v>Snímač tlakové diference
typ 604.91, rozsah 50-500 Pa
HUBA CONTROL</v>
          </cell>
          <cell r="D157" t="str">
            <v>BOLA-HUBA</v>
          </cell>
          <cell r="E157">
            <v>850</v>
          </cell>
          <cell r="F157">
            <v>120</v>
          </cell>
        </row>
        <row r="159">
          <cell r="B159" t="str">
            <v>TW115</v>
          </cell>
          <cell r="C159" t="str">
            <v>Protimrazový regulátor teploty kapilárový
typ TW 115, kapilára 6m, rozsah 4,5 - 20 stC
ALCO CONTROLS</v>
          </cell>
          <cell r="D159" t="str">
            <v>BOLA-ALCO</v>
          </cell>
          <cell r="E159">
            <v>1650</v>
          </cell>
          <cell r="F159">
            <v>120</v>
          </cell>
        </row>
        <row r="163">
          <cell r="A163" t="str">
            <v>CYKY 4Bx16-2000</v>
          </cell>
          <cell r="B163" t="str">
            <v>CYKY 4Bx16</v>
          </cell>
          <cell r="C163" t="str">
            <v>CYKY 4Bx16</v>
          </cell>
          <cell r="D163" t="str">
            <v>MM</v>
          </cell>
          <cell r="E163">
            <v>75</v>
          </cell>
          <cell r="F163">
            <v>3.8</v>
          </cell>
        </row>
        <row r="164">
          <cell r="A164" t="str">
            <v>jB10/3</v>
          </cell>
          <cell r="B164" t="str">
            <v>jB10/3</v>
          </cell>
          <cell r="C164" t="str">
            <v>Třípólový jistič 10A/B</v>
          </cell>
          <cell r="D164" t="str">
            <v>MM</v>
          </cell>
          <cell r="E164">
            <v>346</v>
          </cell>
          <cell r="F164">
            <v>60</v>
          </cell>
        </row>
        <row r="165">
          <cell r="A165" t="str">
            <v>jB32/3</v>
          </cell>
          <cell r="B165" t="str">
            <v>jB32/3</v>
          </cell>
          <cell r="C165" t="str">
            <v>Třípólový jistič 32A/B</v>
          </cell>
          <cell r="D165" t="str">
            <v>MM</v>
          </cell>
          <cell r="E165">
            <v>410</v>
          </cell>
        </row>
        <row r="166">
          <cell r="A166" t="str">
            <v>JYTY 2Dx1-2001</v>
          </cell>
          <cell r="B166" t="str">
            <v>JYTY 2Dx1</v>
          </cell>
          <cell r="C166" t="str">
            <v>JYTY 2Dx1</v>
          </cell>
          <cell r="D166" t="str">
            <v>MM</v>
          </cell>
          <cell r="E166">
            <v>5.8</v>
          </cell>
          <cell r="F166">
            <v>2.5</v>
          </cell>
        </row>
        <row r="167">
          <cell r="A167" t="str">
            <v>JYTY 4Dx1-2001</v>
          </cell>
          <cell r="B167" t="str">
            <v>JYTY 4Dx1</v>
          </cell>
          <cell r="C167" t="str">
            <v>JYTY 4Dx1</v>
          </cell>
          <cell r="D167" t="str">
            <v>MM</v>
          </cell>
          <cell r="E167">
            <v>9.2</v>
          </cell>
          <cell r="F167">
            <v>2.5</v>
          </cell>
        </row>
        <row r="168">
          <cell r="A168" t="str">
            <v>JYStY 1x2x0,8</v>
          </cell>
          <cell r="B168" t="str">
            <v>JYStY 1x2x0,8</v>
          </cell>
          <cell r="C168" t="str">
            <v>JYStY 1x2x0,8</v>
          </cell>
          <cell r="D168" t="str">
            <v>Elektram/kab</v>
          </cell>
          <cell r="E168">
            <v>6</v>
          </cell>
          <cell r="F168">
            <v>2.5</v>
          </cell>
        </row>
        <row r="169">
          <cell r="A169" t="str">
            <v>JYStY 2x2x0,8</v>
          </cell>
          <cell r="B169" t="str">
            <v>JYStY 2x2x0,8</v>
          </cell>
          <cell r="C169" t="str">
            <v>JYStY 2x2x0,8</v>
          </cell>
          <cell r="D169" t="str">
            <v>Elektram/kab</v>
          </cell>
          <cell r="E169">
            <v>8</v>
          </cell>
          <cell r="F169">
            <v>2.5</v>
          </cell>
        </row>
        <row r="170">
          <cell r="A170" t="str">
            <v>JYStY 1x2x0,8</v>
          </cell>
          <cell r="B170" t="str">
            <v>JYStY 1x2x0,8</v>
          </cell>
          <cell r="C170" t="str">
            <v>JYStY 1x2x0,8</v>
          </cell>
          <cell r="D170" t="str">
            <v>MM</v>
          </cell>
          <cell r="E170">
            <v>6</v>
          </cell>
          <cell r="F170">
            <v>2.5</v>
          </cell>
        </row>
        <row r="171">
          <cell r="A171" t="str">
            <v>CYKY 3Cx1,5-2001</v>
          </cell>
          <cell r="B171" t="str">
            <v>CYKY 3Cx1,5</v>
          </cell>
          <cell r="C171" t="str">
            <v>CYKY 3Cx1,5</v>
          </cell>
          <cell r="D171" t="str">
            <v>MM</v>
          </cell>
          <cell r="E171">
            <v>7.9</v>
          </cell>
          <cell r="F171">
            <v>2.5</v>
          </cell>
        </row>
        <row r="172">
          <cell r="A172" t="str">
            <v>CYKY 3Cx2,5</v>
          </cell>
          <cell r="B172" t="str">
            <v>CYKY 3Cx2,5</v>
          </cell>
          <cell r="C172" t="str">
            <v>CYKY 3Cx2,5</v>
          </cell>
          <cell r="D172" t="str">
            <v>MM</v>
          </cell>
          <cell r="E172">
            <v>16</v>
          </cell>
          <cell r="F172">
            <v>2.5</v>
          </cell>
        </row>
        <row r="173">
          <cell r="A173" t="str">
            <v>CYKY 7Cx1,5</v>
          </cell>
          <cell r="B173" t="str">
            <v>CYKY 7Cx1,5</v>
          </cell>
          <cell r="C173" t="str">
            <v>CYKY 7Cx1,5</v>
          </cell>
          <cell r="D173" t="str">
            <v>MM</v>
          </cell>
          <cell r="E173">
            <v>17.2</v>
          </cell>
          <cell r="F173">
            <v>2.5</v>
          </cell>
        </row>
        <row r="174">
          <cell r="A174" t="str">
            <v>CYKY 5Cx1,5-2001</v>
          </cell>
          <cell r="B174" t="str">
            <v>CYKY 5Cx1,5</v>
          </cell>
          <cell r="C174" t="str">
            <v>CYKY 5Cx1,5</v>
          </cell>
          <cell r="D174" t="str">
            <v>MM</v>
          </cell>
          <cell r="E174">
            <v>11.9</v>
          </cell>
          <cell r="F174">
            <v>2.5</v>
          </cell>
        </row>
        <row r="175">
          <cell r="A175" t="str">
            <v>CYKY 3Bx1,5</v>
          </cell>
          <cell r="B175" t="str">
            <v>CYKY 3Bx1,5</v>
          </cell>
          <cell r="C175" t="str">
            <v>CYKY 3Bx1,5</v>
          </cell>
          <cell r="D175" t="str">
            <v>MM</v>
          </cell>
          <cell r="E175">
            <v>9.6</v>
          </cell>
          <cell r="F175">
            <v>2.5</v>
          </cell>
        </row>
        <row r="176">
          <cell r="A176" t="str">
            <v>CYKY 5Cx2,5</v>
          </cell>
          <cell r="B176" t="str">
            <v>CYKY 5Cx2,5</v>
          </cell>
          <cell r="C176" t="str">
            <v>CYKY 5Cx2,5</v>
          </cell>
          <cell r="D176" t="str">
            <v>MM</v>
          </cell>
          <cell r="E176">
            <v>23.8</v>
          </cell>
          <cell r="F176">
            <v>2.5</v>
          </cell>
        </row>
        <row r="177">
          <cell r="A177" t="str">
            <v>CYKY 4Bx2,5-2000</v>
          </cell>
          <cell r="B177" t="str">
            <v>CYKY 4Bx2,5</v>
          </cell>
          <cell r="C177" t="str">
            <v>CYKY 4Bx2,5</v>
          </cell>
          <cell r="D177" t="str">
            <v>MM</v>
          </cell>
          <cell r="E177">
            <v>15</v>
          </cell>
          <cell r="F177">
            <v>2.5</v>
          </cell>
        </row>
        <row r="178">
          <cell r="A178" t="str">
            <v>CYKY 4Bx10-2000</v>
          </cell>
          <cell r="B178" t="str">
            <v>CYKY 4Bx10</v>
          </cell>
          <cell r="C178" t="str">
            <v>CYKY 4Bx10</v>
          </cell>
          <cell r="D178" t="str">
            <v>MM</v>
          </cell>
          <cell r="E178">
            <v>55</v>
          </cell>
          <cell r="F178">
            <v>3.8</v>
          </cell>
        </row>
        <row r="179">
          <cell r="A179" t="str">
            <v>PZ21</v>
          </cell>
          <cell r="B179" t="str">
            <v>PZ21</v>
          </cell>
          <cell r="C179" t="str">
            <v>Pancéřová trubka PZ 21 /m/</v>
          </cell>
          <cell r="D179" t="str">
            <v>MM</v>
          </cell>
          <cell r="E179">
            <v>40</v>
          </cell>
          <cell r="F179">
            <v>8.45</v>
          </cell>
        </row>
        <row r="180">
          <cell r="A180" t="str">
            <v>PZ16</v>
          </cell>
          <cell r="B180" t="str">
            <v>PZ16</v>
          </cell>
          <cell r="C180" t="str">
            <v>Pancéřová trubka PZ 16 /m/</v>
          </cell>
          <cell r="D180" t="str">
            <v>MM</v>
          </cell>
          <cell r="E180">
            <v>30</v>
          </cell>
          <cell r="F180">
            <v>5</v>
          </cell>
        </row>
        <row r="181">
          <cell r="A181" t="str">
            <v>LV 24x22</v>
          </cell>
          <cell r="B181" t="str">
            <v>LV 24x22</v>
          </cell>
          <cell r="C181" t="str">
            <v>Plastový instalační žlab LV 24x22</v>
          </cell>
          <cell r="D181" t="str">
            <v>MM</v>
          </cell>
          <cell r="E181">
            <v>30</v>
          </cell>
          <cell r="F181">
            <v>7</v>
          </cell>
        </row>
        <row r="182">
          <cell r="A182" t="str">
            <v>LV 18x13</v>
          </cell>
          <cell r="B182" t="str">
            <v>LV 18x13</v>
          </cell>
          <cell r="C182" t="str">
            <v>Plastový instalační žlab LV 18x13</v>
          </cell>
          <cell r="D182" t="str">
            <v>MM</v>
          </cell>
          <cell r="E182">
            <v>15</v>
          </cell>
          <cell r="F182">
            <v>7</v>
          </cell>
        </row>
        <row r="183">
          <cell r="A183" t="str">
            <v>LV 40x15</v>
          </cell>
          <cell r="B183" t="str">
            <v>;</v>
          </cell>
          <cell r="C183" t="str">
            <v>Plastový instalační žlab LV 40x15</v>
          </cell>
          <cell r="D183" t="str">
            <v>MM</v>
          </cell>
          <cell r="E183">
            <v>34</v>
          </cell>
          <cell r="F183">
            <v>7</v>
          </cell>
        </row>
        <row r="184">
          <cell r="A184" t="str">
            <v>PVC60x40</v>
          </cell>
          <cell r="B184" t="str">
            <v>PVC60x40</v>
          </cell>
          <cell r="C184" t="str">
            <v>Lišta PVC 60x40 vč. víka</v>
          </cell>
          <cell r="D184" t="str">
            <v>MM</v>
          </cell>
          <cell r="E184">
            <v>44</v>
          </cell>
          <cell r="F184">
            <v>8</v>
          </cell>
        </row>
        <row r="185">
          <cell r="A185" t="str">
            <v>RK9062/CR 4 mm2, 12 svorek</v>
          </cell>
          <cell r="B185" t="str">
            <v>RK9062/CR 4 mm2, 12 svorek</v>
          </cell>
          <cell r="C185" t="str">
            <v>Plastová odbočná krabice</v>
          </cell>
          <cell r="D185" t="str">
            <v>MM</v>
          </cell>
          <cell r="E185">
            <v>80</v>
          </cell>
          <cell r="F185">
            <v>40</v>
          </cell>
        </row>
        <row r="186">
          <cell r="A186" t="str">
            <v>žl50</v>
          </cell>
          <cell r="B186" t="str">
            <v>žl50</v>
          </cell>
          <cell r="C186" t="str">
            <v>Kabelový žlab 62x50 vč. víka /2m ks/</v>
          </cell>
          <cell r="D186" t="str">
            <v>MM</v>
          </cell>
          <cell r="E186">
            <v>135</v>
          </cell>
          <cell r="F186">
            <v>46.6</v>
          </cell>
        </row>
        <row r="187">
          <cell r="A187" t="str">
            <v>žl125</v>
          </cell>
          <cell r="B187" t="str">
            <v>žl125</v>
          </cell>
          <cell r="C187" t="str">
            <v>Kabelový žlab 125x50 vč. víka /2m ks/</v>
          </cell>
          <cell r="D187" t="str">
            <v>MM</v>
          </cell>
          <cell r="E187">
            <v>172</v>
          </cell>
          <cell r="F187">
            <v>46.6</v>
          </cell>
        </row>
        <row r="188">
          <cell r="A188" t="str">
            <v>uk4</v>
          </cell>
          <cell r="B188" t="str">
            <v>uk4</v>
          </cell>
          <cell r="C188" t="str">
            <v>Ukončení kabelu do 4x4mm2</v>
          </cell>
          <cell r="D188" t="str">
            <v>MM</v>
          </cell>
          <cell r="E188">
            <v>0</v>
          </cell>
          <cell r="F188">
            <v>13.2</v>
          </cell>
        </row>
        <row r="189">
          <cell r="A189" t="str">
            <v>ukst4</v>
          </cell>
          <cell r="B189" t="str">
            <v>ukst4</v>
          </cell>
          <cell r="C189" t="str">
            <v>Ukončení stíněného kabelu do 4x1mm2</v>
          </cell>
          <cell r="D189" t="str">
            <v>MM</v>
          </cell>
          <cell r="E189">
            <v>0</v>
          </cell>
          <cell r="F189">
            <v>32</v>
          </cell>
        </row>
        <row r="190">
          <cell r="A190" t="str">
            <v>CY6</v>
          </cell>
          <cell r="B190" t="str">
            <v>CY6</v>
          </cell>
          <cell r="C190" t="str">
            <v>Vodič CY 6mm2 ŽZ</v>
          </cell>
          <cell r="D190" t="str">
            <v>MM</v>
          </cell>
          <cell r="E190">
            <v>8.9</v>
          </cell>
          <cell r="F190">
            <v>5.2</v>
          </cell>
        </row>
        <row r="191">
          <cell r="A191" t="str">
            <v>Zsv</v>
          </cell>
          <cell r="B191" t="str">
            <v>Zsv</v>
          </cell>
          <cell r="C191" t="str">
            <v>Zemnící svorky vč. CU pásků</v>
          </cell>
          <cell r="D191" t="str">
            <v>MM</v>
          </cell>
          <cell r="E191">
            <v>11</v>
          </cell>
          <cell r="F191">
            <v>4.5</v>
          </cell>
        </row>
        <row r="192">
          <cell r="A192" t="str">
            <v>H</v>
          </cell>
          <cell r="B192" t="str">
            <v>H</v>
          </cell>
          <cell r="C192" t="str">
            <v>Upevňovací bod hmoždinkou</v>
          </cell>
          <cell r="D192" t="str">
            <v>MM</v>
          </cell>
          <cell r="E192">
            <v>5.5</v>
          </cell>
          <cell r="F192">
            <v>2.1</v>
          </cell>
        </row>
        <row r="193">
          <cell r="B193" t="str">
            <v>Třípólový jistič Schrack 63A/B</v>
          </cell>
          <cell r="C193" t="str">
            <v>Třípólový jistič Schrack 63A/B</v>
          </cell>
          <cell r="D193" t="str">
            <v>Schrack</v>
          </cell>
          <cell r="E193">
            <v>1128</v>
          </cell>
        </row>
        <row r="195">
          <cell r="B195" t="str">
            <v>AM 24-SR</v>
          </cell>
          <cell r="C195" t="str">
            <v>Klapkový servopohon 24V, 0-10V, multifunkční technologie </v>
          </cell>
          <cell r="D195" t="str">
            <v>BOLA pohony</v>
          </cell>
          <cell r="E195">
            <v>7351</v>
          </cell>
          <cell r="F195">
            <v>80</v>
          </cell>
        </row>
        <row r="196">
          <cell r="B196" t="str">
            <v>NM 24-SR</v>
          </cell>
          <cell r="C196" t="str">
            <v>Klapkový servopohon NM 24-SR, 24V, 0-10V, 150s</v>
          </cell>
          <cell r="D196" t="str">
            <v>BOLA pohony</v>
          </cell>
          <cell r="E196">
            <v>6053</v>
          </cell>
          <cell r="F196">
            <v>80</v>
          </cell>
        </row>
        <row r="197">
          <cell r="B197" t="str">
            <v>LM 24-SR</v>
          </cell>
          <cell r="C197" t="str">
            <v>Klapkový servopohon 24V, 0-10V, 110s</v>
          </cell>
          <cell r="D197" t="str">
            <v>BOLA pohony</v>
          </cell>
          <cell r="E197">
            <v>4628</v>
          </cell>
          <cell r="F197">
            <v>80</v>
          </cell>
        </row>
        <row r="199">
          <cell r="B199" t="str">
            <v>LF 24</v>
          </cell>
          <cell r="C199" t="str">
            <v>Klapkový servopohon 24V, 2-polohová regulace, havarijní funkce</v>
          </cell>
          <cell r="D199" t="str">
            <v>BOLA pohony</v>
          </cell>
          <cell r="E199">
            <v>5622</v>
          </cell>
          <cell r="F199">
            <v>80</v>
          </cell>
        </row>
        <row r="200">
          <cell r="B200" t="str">
            <v>AF 230</v>
          </cell>
          <cell r="C200" t="str">
            <v>Klapkový servopohon 230V, 2-polohová regulace, 150s/16s, havarijní funkce</v>
          </cell>
          <cell r="D200" t="str">
            <v>BOLA pohony</v>
          </cell>
          <cell r="E200">
            <v>9246</v>
          </cell>
          <cell r="F200">
            <v>80</v>
          </cell>
        </row>
        <row r="202">
          <cell r="B202" t="str">
            <v>RV 102 ELB 6311-16/140-15
</v>
          </cell>
          <cell r="C202" t="str">
            <v>Regulační ventil RV 102 L, DN 15, PN 16
RV 102 ELB 6311-16/140-15
s el. pohonem SQX 62, 24 VAC
řízení 0 ... 10 V
provedení přírubové trojcestné směšovací
materiál tělesa šedá litina
průtočná charakteristika lineární, Kvs = 6,3 m3/h</v>
          </cell>
          <cell r="D202" t="str">
            <v>LDM 
Č. Třebová</v>
          </cell>
          <cell r="E202">
            <v>11320</v>
          </cell>
          <cell r="F202">
            <v>80</v>
          </cell>
        </row>
        <row r="203">
          <cell r="B203" t="str">
            <v>RV 102 ELB 6311-16/140-40
</v>
          </cell>
          <cell r="C203" t="str">
            <v>Regulační ventil RV 102 L, DN 40, PN 16
RV 102 ELB 6311-16/140-40
s el. pohonem SQX 62, 24 VAC
řízení 0 ... 10 V
provedení přírubové trojcestné směšovací
materiál tělesa šedá litina
průtočná charakteristika lineární, Kvs = 25 m3/h</v>
          </cell>
          <cell r="D203" t="str">
            <v>LDM 
Č. Třebová</v>
          </cell>
          <cell r="E203">
            <v>12800</v>
          </cell>
          <cell r="F203">
            <v>80</v>
          </cell>
        </row>
        <row r="204">
          <cell r="B204" t="str">
            <v>RV 103 ELB 6311-16/140-50
</v>
          </cell>
          <cell r="C204" t="str">
            <v>Regulační ventil RV 103 L, DN 50, PN 16
RV 102 ELB 6311-16/140-50
s el. pohonem SQX 62, 24 VAC
řízení 0 ... 10 V
provedení přírubové trojcestné směšovací
materiál tělesa šedá litina
průtočná charakteristika lineární, Kvs = 40 m3/h</v>
          </cell>
          <cell r="D204" t="str">
            <v>LDM 
Č. Třebová</v>
          </cell>
          <cell r="E204">
            <v>15100</v>
          </cell>
          <cell r="F204">
            <v>80</v>
          </cell>
        </row>
        <row r="206">
          <cell r="B206" t="str">
            <v>QAF81.3</v>
          </cell>
          <cell r="C206" t="str">
            <v>Protimrazový termostat QAF81.3, rozsah -5...10 stC, délka kapiláry 3 m</v>
          </cell>
          <cell r="D206" t="str">
            <v>Landis &amp; Staefa</v>
          </cell>
          <cell r="E206">
            <v>3317</v>
          </cell>
          <cell r="F206">
            <v>120</v>
          </cell>
        </row>
        <row r="208">
          <cell r="B208" t="str">
            <v>Snímač tlakové diference P33AB-9202</v>
          </cell>
          <cell r="C208" t="str">
            <v>Snímač tlakové diference, typ P33AB-9202</v>
          </cell>
          <cell r="D208" t="str">
            <v>Johnson 
Controls</v>
          </cell>
          <cell r="E208">
            <v>1239</v>
          </cell>
          <cell r="F208">
            <v>60</v>
          </cell>
        </row>
        <row r="209">
          <cell r="B209" t="str">
            <v>ventilátor 50 kW H-T</v>
          </cell>
          <cell r="C209" t="str">
            <v>Ventilátor 50 kW</v>
          </cell>
          <cell r="D209" t="str">
            <v>strojní
dodávka</v>
          </cell>
          <cell r="E209">
            <v>0</v>
          </cell>
          <cell r="F209">
            <v>160</v>
          </cell>
        </row>
        <row r="210">
          <cell r="B210" t="str">
            <v>ventilátor 4 kW H-T</v>
          </cell>
          <cell r="C210" t="str">
            <v>Ventilátor 4 kW</v>
          </cell>
          <cell r="D210" t="str">
            <v>strojní
dodávka</v>
          </cell>
          <cell r="E210">
            <v>0</v>
          </cell>
          <cell r="F210">
            <v>120</v>
          </cell>
        </row>
        <row r="211">
          <cell r="B211" t="str">
            <v>ventilátor 3 kW </v>
          </cell>
          <cell r="C211" t="str">
            <v>Ventilátor 3 kW</v>
          </cell>
          <cell r="D211" t="str">
            <v>strojní
dodávka</v>
          </cell>
          <cell r="E211">
            <v>0</v>
          </cell>
          <cell r="F211">
            <v>80</v>
          </cell>
        </row>
        <row r="214">
          <cell r="B214" t="str">
            <v>řs303</v>
          </cell>
          <cell r="C214" t="str">
            <v>Regulátor TR 303</v>
          </cell>
          <cell r="D214" t="str">
            <v>Tecont</v>
          </cell>
          <cell r="E214">
            <v>20500</v>
          </cell>
        </row>
        <row r="215">
          <cell r="B215" t="str">
            <v>řs304</v>
          </cell>
          <cell r="C215" t="str">
            <v>Regulátor TR 304</v>
          </cell>
          <cell r="D215" t="str">
            <v>Tecont</v>
          </cell>
          <cell r="E215">
            <v>23500</v>
          </cell>
        </row>
        <row r="216">
          <cell r="B216" t="str">
            <v>modul322</v>
          </cell>
          <cell r="C216" t="str">
            <v>Rozšiřující modul TR 322</v>
          </cell>
          <cell r="D216" t="str">
            <v>Tecont</v>
          </cell>
          <cell r="E216">
            <v>13500</v>
          </cell>
        </row>
        <row r="217">
          <cell r="B217" t="str">
            <v>ID05</v>
          </cell>
          <cell r="C217" t="str">
            <v>Operátorský panel ID-05, LCD 2x16, RS-232</v>
          </cell>
          <cell r="D217" t="str">
            <v>Teco</v>
          </cell>
          <cell r="E217">
            <v>3750</v>
          </cell>
        </row>
        <row r="219">
          <cell r="B219" t="str">
            <v>SWTECOREG</v>
          </cell>
          <cell r="C219" t="str">
            <v>Aplikační SW pro ŘS TECOREG</v>
          </cell>
          <cell r="D219" t="str">
            <v>Energie MaR</v>
          </cell>
          <cell r="E219">
            <v>500</v>
          </cell>
        </row>
        <row r="221">
          <cell r="B221" t="str">
            <v>CYKY 2Ax1,5-2001</v>
          </cell>
          <cell r="C221" t="str">
            <v>CYKY 2Ax1,5</v>
          </cell>
          <cell r="D221" t="str">
            <v>Elektram/kab</v>
          </cell>
          <cell r="E221">
            <v>5.8</v>
          </cell>
          <cell r="F221">
            <v>2.5</v>
          </cell>
        </row>
        <row r="222">
          <cell r="B222" t="str">
            <v>CYKY 3Cx1,5-2001</v>
          </cell>
          <cell r="C222" t="str">
            <v>CYKY 3Cx1,5</v>
          </cell>
          <cell r="D222" t="str">
            <v>Elektram/kab</v>
          </cell>
          <cell r="E222">
            <v>7.9</v>
          </cell>
          <cell r="F222">
            <v>2.5</v>
          </cell>
        </row>
        <row r="223">
          <cell r="B223" t="str">
            <v>CYKY 3Dx1,5-2001</v>
          </cell>
          <cell r="C223" t="str">
            <v>CYKY 3Cx1,5</v>
          </cell>
          <cell r="D223" t="str">
            <v>Elektram/kab</v>
          </cell>
          <cell r="E223">
            <v>7.9</v>
          </cell>
          <cell r="F223">
            <v>2.5</v>
          </cell>
        </row>
        <row r="224">
          <cell r="B224" t="str">
            <v>CYKY 4Bx1,5-2001</v>
          </cell>
          <cell r="C224" t="str">
            <v>CYKY 4Bx1,5</v>
          </cell>
          <cell r="D224" t="str">
            <v>Elektram/kab</v>
          </cell>
          <cell r="E224">
            <v>10.1</v>
          </cell>
          <cell r="F224">
            <v>2.5</v>
          </cell>
        </row>
        <row r="225">
          <cell r="B225" t="str">
            <v>CYKY 4Bx2,5-2001</v>
          </cell>
          <cell r="C225" t="str">
            <v>CYKY 4Bx2,5</v>
          </cell>
          <cell r="D225" t="str">
            <v>Elektram/kab</v>
          </cell>
          <cell r="E225">
            <v>14.7</v>
          </cell>
          <cell r="F225">
            <v>2.5</v>
          </cell>
        </row>
        <row r="226">
          <cell r="B226" t="str">
            <v>CYKY 4Bx4-2001</v>
          </cell>
          <cell r="C226" t="str">
            <v>CYKY 4Bx4</v>
          </cell>
          <cell r="D226" t="str">
            <v>Elektram/kab</v>
          </cell>
          <cell r="E226">
            <v>22.4</v>
          </cell>
          <cell r="F226">
            <v>3.8</v>
          </cell>
        </row>
        <row r="227">
          <cell r="B227" t="str">
            <v>CYKY 5Cx1,5-2001</v>
          </cell>
          <cell r="C227" t="str">
            <v>CYKY 5Cx1,5</v>
          </cell>
          <cell r="D227" t="str">
            <v>Elektram/kab</v>
          </cell>
          <cell r="E227">
            <v>11.9</v>
          </cell>
          <cell r="F227">
            <v>2.5</v>
          </cell>
        </row>
        <row r="228">
          <cell r="B228" t="str">
            <v>CYKY 5Dx1,5-2001</v>
          </cell>
          <cell r="C228" t="str">
            <v>CYKY 5Dx1,5</v>
          </cell>
          <cell r="D228" t="str">
            <v>Elektram/kab</v>
          </cell>
          <cell r="E228">
            <v>11.9</v>
          </cell>
          <cell r="F228">
            <v>2.5</v>
          </cell>
        </row>
        <row r="229">
          <cell r="B229" t="str">
            <v>CYKY 5Cx35-2001</v>
          </cell>
          <cell r="C229" t="str">
            <v>CYKY 5Cx35</v>
          </cell>
          <cell r="D229" t="str">
            <v>Elektram/kab</v>
          </cell>
          <cell r="E229">
            <v>231.4</v>
          </cell>
          <cell r="F229">
            <v>2.5</v>
          </cell>
        </row>
        <row r="230">
          <cell r="B230" t="str">
            <v>CYKY 2Ax1,5</v>
          </cell>
          <cell r="C230" t="str">
            <v>CYKY 2Ax1,5</v>
          </cell>
          <cell r="D230" t="str">
            <v>Elektram/kab</v>
          </cell>
          <cell r="E230">
            <v>6.5</v>
          </cell>
          <cell r="F230">
            <v>2.5</v>
          </cell>
        </row>
        <row r="231">
          <cell r="B231" t="str">
            <v>CYKY 2Ax2,5</v>
          </cell>
          <cell r="C231" t="str">
            <v>CYKY 2Ax2,5</v>
          </cell>
          <cell r="D231" t="str">
            <v>Elektram/kab</v>
          </cell>
          <cell r="E231">
            <v>9</v>
          </cell>
          <cell r="F231">
            <v>2.5</v>
          </cell>
        </row>
        <row r="232">
          <cell r="B232" t="str">
            <v>CYKY 2Dx1,5</v>
          </cell>
          <cell r="C232" t="str">
            <v>CYKY 2Dx1,5</v>
          </cell>
          <cell r="D232" t="str">
            <v>Elektram/kab</v>
          </cell>
          <cell r="E232">
            <v>7</v>
          </cell>
          <cell r="F232">
            <v>2.5</v>
          </cell>
        </row>
        <row r="233">
          <cell r="B233" t="str">
            <v>CYKY 3Ax1,5-2002</v>
          </cell>
          <cell r="C233" t="str">
            <v>CYKY 3Ax1,5</v>
          </cell>
          <cell r="D233" t="str">
            <v>Elektram/kab</v>
          </cell>
          <cell r="E233">
            <v>7.9</v>
          </cell>
          <cell r="F233">
            <v>2.5</v>
          </cell>
        </row>
        <row r="234">
          <cell r="B234" t="str">
            <v>CYKY 3Bx1,5</v>
          </cell>
          <cell r="C234" t="str">
            <v>CYKY 3Bx1,5</v>
          </cell>
          <cell r="D234" t="str">
            <v>Elektram/kab</v>
          </cell>
          <cell r="E234">
            <v>9.6</v>
          </cell>
          <cell r="F234">
            <v>2.5</v>
          </cell>
        </row>
        <row r="235">
          <cell r="B235" t="str">
            <v>CYKY 3Cx1,5</v>
          </cell>
          <cell r="C235" t="str">
            <v>CYKY 3Cx1,5</v>
          </cell>
          <cell r="D235" t="str">
            <v>Elektram/kab</v>
          </cell>
          <cell r="E235">
            <v>9.6</v>
          </cell>
          <cell r="F235">
            <v>2.5</v>
          </cell>
        </row>
        <row r="236">
          <cell r="B236" t="str">
            <v>CYKY 3Dx1,5</v>
          </cell>
          <cell r="C236" t="str">
            <v>CYKY 3Dx1,5</v>
          </cell>
          <cell r="D236" t="str">
            <v>Elektram/kab</v>
          </cell>
          <cell r="E236">
            <v>8</v>
          </cell>
          <cell r="F236">
            <v>2.5</v>
          </cell>
        </row>
        <row r="237">
          <cell r="B237" t="str">
            <v>CYKY 3Cx2,5</v>
          </cell>
          <cell r="C237" t="str">
            <v>CYKY 3Cx2,5</v>
          </cell>
          <cell r="D237" t="str">
            <v>Elektram/kab</v>
          </cell>
          <cell r="E237">
            <v>16</v>
          </cell>
          <cell r="F237">
            <v>2.5</v>
          </cell>
        </row>
        <row r="238">
          <cell r="B238" t="str">
            <v>CYKY 3Ax2,5</v>
          </cell>
          <cell r="C238" t="str">
            <v>CYKY 3Ax2,5</v>
          </cell>
          <cell r="D238" t="str">
            <v>Elektram/kab</v>
          </cell>
          <cell r="E238">
            <v>16</v>
          </cell>
          <cell r="F238">
            <v>2.5</v>
          </cell>
        </row>
        <row r="239">
          <cell r="B239" t="str">
            <v>CYKY 3Cx4</v>
          </cell>
          <cell r="C239" t="str">
            <v>CYKY 3Cx4</v>
          </cell>
          <cell r="D239" t="str">
            <v>Elektram/kab</v>
          </cell>
          <cell r="E239">
            <v>19</v>
          </cell>
          <cell r="F239">
            <v>2.5</v>
          </cell>
        </row>
        <row r="240">
          <cell r="B240" t="str">
            <v>CYKY 4Cx1,5</v>
          </cell>
          <cell r="C240" t="str">
            <v>CYKY 4Cx1,5</v>
          </cell>
          <cell r="D240" t="str">
            <v>Elektram/kab</v>
          </cell>
          <cell r="E240">
            <v>11</v>
          </cell>
          <cell r="F240">
            <v>2.5</v>
          </cell>
        </row>
        <row r="241">
          <cell r="B241" t="str">
            <v>CYKY 4Bx1,5</v>
          </cell>
          <cell r="C241" t="str">
            <v>CYKY 4Bx1,5</v>
          </cell>
          <cell r="D241" t="str">
            <v>Elektram/kab</v>
          </cell>
          <cell r="E241">
            <v>11</v>
          </cell>
          <cell r="F241">
            <v>2.5</v>
          </cell>
        </row>
        <row r="242">
          <cell r="B242" t="str">
            <v>CYKY 4Bx2,5</v>
          </cell>
          <cell r="C242" t="str">
            <v>CYKY 4Bx2,5</v>
          </cell>
          <cell r="D242" t="str">
            <v>Elektram/kab</v>
          </cell>
          <cell r="E242">
            <v>15</v>
          </cell>
          <cell r="F242">
            <v>2.5</v>
          </cell>
        </row>
        <row r="243">
          <cell r="B243" t="str">
            <v>CYKY 4Bx10</v>
          </cell>
          <cell r="C243" t="str">
            <v>CYKY 4Bx10</v>
          </cell>
          <cell r="D243" t="str">
            <v>Elektram/kab</v>
          </cell>
          <cell r="E243">
            <v>55</v>
          </cell>
          <cell r="F243">
            <v>3.8</v>
          </cell>
        </row>
        <row r="244">
          <cell r="B244" t="str">
            <v>CYKY 4Bx4</v>
          </cell>
          <cell r="C244" t="str">
            <v>CYKY 4Bx4</v>
          </cell>
          <cell r="D244" t="str">
            <v>Elektram/kab</v>
          </cell>
          <cell r="E244">
            <v>32</v>
          </cell>
          <cell r="F244">
            <v>3.8</v>
          </cell>
        </row>
        <row r="245">
          <cell r="B245" t="str">
            <v>CYKY 5Cx1,5</v>
          </cell>
          <cell r="C245" t="str">
            <v>CYKY 5Cx1,5</v>
          </cell>
          <cell r="D245" t="str">
            <v>Elektram/kab</v>
          </cell>
          <cell r="E245">
            <v>15</v>
          </cell>
          <cell r="F245">
            <v>2.5</v>
          </cell>
        </row>
        <row r="246">
          <cell r="B246" t="str">
            <v>CYKY 5Cx2,5</v>
          </cell>
          <cell r="C246" t="str">
            <v>CYKY 5Cx2,5</v>
          </cell>
          <cell r="D246" t="str">
            <v>Elektram/kab</v>
          </cell>
          <cell r="E246">
            <v>23.8</v>
          </cell>
          <cell r="F246">
            <v>2.5</v>
          </cell>
        </row>
        <row r="247">
          <cell r="B247" t="str">
            <v>CYKY 5Cx4</v>
          </cell>
          <cell r="C247" t="str">
            <v>CYKY 5Cx4</v>
          </cell>
          <cell r="D247" t="str">
            <v>Elektram/kab</v>
          </cell>
          <cell r="E247">
            <v>34.3</v>
          </cell>
          <cell r="F247">
            <v>2.5</v>
          </cell>
        </row>
        <row r="248">
          <cell r="B248" t="str">
            <v>CYKY 5Cx6</v>
          </cell>
          <cell r="C248" t="str">
            <v>CYKY 5Cx6</v>
          </cell>
          <cell r="D248" t="str">
            <v>Elektram/kab</v>
          </cell>
          <cell r="E248">
            <v>38</v>
          </cell>
          <cell r="F248">
            <v>3.8</v>
          </cell>
        </row>
        <row r="249">
          <cell r="B249" t="str">
            <v>CYKY 5Cx10</v>
          </cell>
          <cell r="C249" t="str">
            <v>CYKY 5Cx10</v>
          </cell>
          <cell r="D249" t="str">
            <v>Elektram/kab</v>
          </cell>
          <cell r="E249">
            <v>72</v>
          </cell>
          <cell r="F249">
            <v>3.8</v>
          </cell>
        </row>
        <row r="250">
          <cell r="B250" t="str">
            <v>CYKY 5C x 10</v>
          </cell>
          <cell r="C250" t="str">
            <v>CYKY 5Cx10</v>
          </cell>
          <cell r="D250" t="str">
            <v>Elektram/kab</v>
          </cell>
          <cell r="E250">
            <v>62</v>
          </cell>
          <cell r="F250">
            <v>3.8</v>
          </cell>
        </row>
        <row r="251">
          <cell r="B251" t="str">
            <v>CYKY 7Cx1,5</v>
          </cell>
          <cell r="C251" t="str">
            <v>CYKY 7Cx1,5</v>
          </cell>
          <cell r="D251" t="str">
            <v>Elektram/kab</v>
          </cell>
          <cell r="E251">
            <v>17.2</v>
          </cell>
          <cell r="F251">
            <v>2.5</v>
          </cell>
        </row>
        <row r="252">
          <cell r="B252" t="str">
            <v>CYKY 12Cx1,5</v>
          </cell>
          <cell r="C252" t="str">
            <v>CYKY 12Cx1,5</v>
          </cell>
          <cell r="D252" t="str">
            <v>Elektram/kab</v>
          </cell>
          <cell r="E252">
            <v>34</v>
          </cell>
          <cell r="F252">
            <v>2.5</v>
          </cell>
        </row>
        <row r="253">
          <cell r="B253" t="str">
            <v>CYKY 12x1,5</v>
          </cell>
          <cell r="C253" t="str">
            <v>CYKY 12x1,5</v>
          </cell>
          <cell r="D253" t="str">
            <v>Elektram/kab</v>
          </cell>
          <cell r="E253">
            <v>34</v>
          </cell>
          <cell r="F253">
            <v>2.5</v>
          </cell>
        </row>
        <row r="254">
          <cell r="B254" t="str">
            <v>CYKY 19Cx1,5</v>
          </cell>
          <cell r="C254" t="str">
            <v>CYKY 19Cx1,5 </v>
          </cell>
          <cell r="D254" t="str">
            <v>Elektram/kab</v>
          </cell>
          <cell r="E254">
            <v>50.4</v>
          </cell>
          <cell r="F254">
            <v>2.5</v>
          </cell>
        </row>
        <row r="255">
          <cell r="B255" t="str">
            <v>CYKY 4Bx25</v>
          </cell>
          <cell r="C255" t="str">
            <v>CYKY 4Bx25</v>
          </cell>
          <cell r="D255" t="str">
            <v>Elektram/kab</v>
          </cell>
          <cell r="E255">
            <v>50.4</v>
          </cell>
          <cell r="F255">
            <v>2.5</v>
          </cell>
        </row>
        <row r="256">
          <cell r="B256" t="str">
            <v>CGSG 4Bx6</v>
          </cell>
          <cell r="C256" t="str">
            <v>CGSG 4Bx6</v>
          </cell>
          <cell r="D256" t="str">
            <v>Elektram/kab</v>
          </cell>
          <cell r="E256">
            <v>50.4</v>
          </cell>
          <cell r="F256">
            <v>2.5</v>
          </cell>
        </row>
        <row r="258">
          <cell r="B258" t="str">
            <v>TCEPKPFLE 3x4x0,8-DR</v>
          </cell>
          <cell r="C258" t="str">
            <v>TCEPKPFLE 3x4x0,8</v>
          </cell>
          <cell r="D258" t="str">
            <v>Elektram/kab</v>
          </cell>
          <cell r="E258">
            <v>21.3</v>
          </cell>
          <cell r="F258">
            <v>2.5</v>
          </cell>
        </row>
        <row r="259">
          <cell r="B259" t="str">
            <v>TCEPKPFLE 1x4x0,8-DR</v>
          </cell>
          <cell r="C259" t="str">
            <v>TCEPKPFLE 1x4x0,8</v>
          </cell>
          <cell r="D259" t="str">
            <v>Elektram/kab</v>
          </cell>
          <cell r="E259">
            <v>10.3</v>
          </cell>
          <cell r="F259">
            <v>2.5</v>
          </cell>
        </row>
        <row r="260">
          <cell r="B260" t="str">
            <v>Kabelový žlab drátěný FN60</v>
          </cell>
          <cell r="C260" t="str">
            <v>Kabelový žlab drátěný FN60</v>
          </cell>
          <cell r="D260" t="str">
            <v>Elektram/kab</v>
          </cell>
          <cell r="E260">
            <v>110</v>
          </cell>
          <cell r="F260">
            <v>46.6</v>
          </cell>
        </row>
        <row r="261">
          <cell r="B261" t="str">
            <v>Kabelová chránička</v>
          </cell>
          <cell r="C261" t="str">
            <v>Kabelová chránička</v>
          </cell>
          <cell r="D261" t="str">
            <v>Elektram/kab</v>
          </cell>
          <cell r="E261">
            <v>60</v>
          </cell>
          <cell r="F261">
            <v>2.5</v>
          </cell>
        </row>
        <row r="262">
          <cell r="B262" t="str">
            <v>Ukončovací skříně MX</v>
          </cell>
          <cell r="C262" t="str">
            <v>Ukončovací skříně MX</v>
          </cell>
          <cell r="D262" t="str">
            <v>Elektram/kab</v>
          </cell>
          <cell r="E262">
            <v>1300</v>
          </cell>
          <cell r="F262">
            <v>170</v>
          </cell>
        </row>
        <row r="263">
          <cell r="B263" t="str">
            <v>Zatažení a ukončení v objektu</v>
          </cell>
          <cell r="C263" t="str">
            <v>Zatažení a ukončení v objektu</v>
          </cell>
          <cell r="D263" t="str">
            <v>Elektram/kab</v>
          </cell>
          <cell r="E263">
            <v>200</v>
          </cell>
          <cell r="F263">
            <v>50</v>
          </cell>
        </row>
        <row r="264">
          <cell r="B264" t="str">
            <v>Krycí fólie</v>
          </cell>
          <cell r="C264" t="str">
            <v>Krycí fólie</v>
          </cell>
          <cell r="D264" t="str">
            <v>Elektram/kab</v>
          </cell>
          <cell r="E264">
            <v>3</v>
          </cell>
          <cell r="F264">
            <v>0.5</v>
          </cell>
        </row>
        <row r="265">
          <cell r="B265" t="str">
            <v>Kabelová spojka</v>
          </cell>
          <cell r="C265" t="str">
            <v>Kabelová spojka</v>
          </cell>
          <cell r="D265" t="str">
            <v>Elektram/kab</v>
          </cell>
          <cell r="E265">
            <v>1200</v>
          </cell>
          <cell r="F265">
            <v>200</v>
          </cell>
        </row>
        <row r="266">
          <cell r="B266" t="str">
            <v>Proměření kabelů a vystavení protokolů</v>
          </cell>
          <cell r="C266" t="str">
            <v>Proměření kabelů a vystavení protokolů</v>
          </cell>
          <cell r="D266" t="str">
            <v>Energie MaR</v>
          </cell>
          <cell r="E266">
            <v>0</v>
          </cell>
          <cell r="F266">
            <v>35</v>
          </cell>
        </row>
        <row r="268">
          <cell r="B268" t="str">
            <v>V05J-K 16 GNZE</v>
          </cell>
          <cell r="C268" t="str">
            <v>Kabely propojovací a zemnící V05J-K 16 GNZE</v>
          </cell>
          <cell r="D268" t="str">
            <v>MM</v>
          </cell>
        </row>
        <row r="269">
          <cell r="B269" t="str">
            <v>4x1 LAM-DATAPÁR</v>
          </cell>
          <cell r="C269" t="str">
            <v>Kabely komunikační 4x1 LAM-DATAPÁR opletený</v>
          </cell>
          <cell r="D269" t="str">
            <v>MM</v>
          </cell>
        </row>
        <row r="273">
          <cell r="B273" t="str">
            <v>Kabely silové CYKY 4B 2,5qmm</v>
          </cell>
          <cell r="C273" t="str">
            <v>Kabely silové CYKY 4B 2,5qmm</v>
          </cell>
          <cell r="D273" t="str">
            <v>Elektram/kab</v>
          </cell>
          <cell r="E273">
            <v>13.478260869565219</v>
          </cell>
          <cell r="F273">
            <v>2.5</v>
          </cell>
        </row>
        <row r="274">
          <cell r="B274" t="str">
            <v>Kabely silové CYKY 4B 4qmm</v>
          </cell>
          <cell r="C274" t="str">
            <v>Kabely silové CYKY 4B 4qmm</v>
          </cell>
          <cell r="D274" t="str">
            <v>Elektram/kab</v>
          </cell>
          <cell r="E274">
            <v>23.91304347826087</v>
          </cell>
          <cell r="F274">
            <v>2.5</v>
          </cell>
        </row>
        <row r="275">
          <cell r="B275" t="str">
            <v>Kabely silové CYKY 3C 1,5qmm</v>
          </cell>
          <cell r="C275" t="str">
            <v>Kabely silové CYKY 3C 1,5qmm</v>
          </cell>
          <cell r="D275" t="str">
            <v>Elektram/kab</v>
          </cell>
          <cell r="E275">
            <v>8.695652173913045</v>
          </cell>
          <cell r="F275">
            <v>2.5</v>
          </cell>
        </row>
        <row r="276">
          <cell r="B276" t="str">
            <v>Kabely silové CYKY 3A 1,5qmm</v>
          </cell>
          <cell r="C276" t="str">
            <v>Kabely silové CYKY 3A 1,5qmm</v>
          </cell>
          <cell r="D276" t="str">
            <v>Elektram/kab</v>
          </cell>
          <cell r="E276">
            <v>8.695652173913045</v>
          </cell>
          <cell r="F276">
            <v>2.5</v>
          </cell>
        </row>
        <row r="277">
          <cell r="B277" t="str">
            <v>Kabely silové CYKY 2A 1,5qmm</v>
          </cell>
          <cell r="C277" t="str">
            <v>Kabely silové CYKY 2A 1,5qmm</v>
          </cell>
          <cell r="D277" t="str">
            <v>Elektram/kab</v>
          </cell>
          <cell r="E277">
            <v>6.608695652173913</v>
          </cell>
          <cell r="F277">
            <v>2.5</v>
          </cell>
        </row>
        <row r="278">
          <cell r="B278" t="str">
            <v>Kabely měření a regulace JY(ST)Y 1x2x0,8</v>
          </cell>
          <cell r="C278" t="str">
            <v>Kabely měření a regulace JY(ST)Y 1x2x0,8</v>
          </cell>
          <cell r="D278" t="str">
            <v>Elektram/kab</v>
          </cell>
          <cell r="E278">
            <v>4.869565217391305</v>
          </cell>
          <cell r="F278">
            <v>2.5</v>
          </cell>
        </row>
        <row r="279">
          <cell r="B279" t="str">
            <v>Kabely měření a regulace JY(ST)Y 2x2x0,8</v>
          </cell>
          <cell r="C279" t="str">
            <v>Kabely měření a regulace JY(ST)Y 2x2x0,8</v>
          </cell>
          <cell r="D279" t="str">
            <v>Elektram/kab</v>
          </cell>
          <cell r="E279">
            <v>6.347826086956522</v>
          </cell>
          <cell r="F279">
            <v>2.5</v>
          </cell>
        </row>
        <row r="280">
          <cell r="B280" t="str">
            <v>Kabely měření do země TCEKFE 4P-0,8</v>
          </cell>
          <cell r="C280" t="str">
            <v>Kabely měření do země TCEKFE 4P-0,8</v>
          </cell>
          <cell r="D280" t="str">
            <v>Elektram/kab</v>
          </cell>
          <cell r="E280">
            <v>20.869565217391305</v>
          </cell>
          <cell r="F280">
            <v>2.5</v>
          </cell>
        </row>
        <row r="281">
          <cell r="B281" t="str">
            <v>Kabely měření do země TCEKFE 1P-0,8</v>
          </cell>
          <cell r="C281" t="str">
            <v>Kabely měření do země TCEKFE 1P-0,8</v>
          </cell>
          <cell r="D281" t="str">
            <v>Elektram/kab</v>
          </cell>
          <cell r="E281">
            <v>10</v>
          </cell>
          <cell r="F281">
            <v>2.5</v>
          </cell>
        </row>
        <row r="282">
          <cell r="B282" t="str">
            <v>Kabely propojovací a zemnící V05J-K 16 GNYE</v>
          </cell>
          <cell r="C282" t="str">
            <v>Kabely propojovací a zemnící V05J-K 16 GNYE</v>
          </cell>
          <cell r="D282" t="str">
            <v>Elektram/kab</v>
          </cell>
          <cell r="E282">
            <v>13.043478260869566</v>
          </cell>
          <cell r="F282">
            <v>2.5</v>
          </cell>
        </row>
        <row r="283">
          <cell r="B283" t="str">
            <v>Kabely komunikační 4x1 LAM-DATAPÁR opletený</v>
          </cell>
          <cell r="C283" t="str">
            <v>Kabely komunikační 4x1 LAM-DATAPÁR opletený</v>
          </cell>
          <cell r="D283" t="str">
            <v>Elektram/kab</v>
          </cell>
          <cell r="E283">
            <v>14.782608695652176</v>
          </cell>
          <cell r="F283">
            <v>2.5</v>
          </cell>
        </row>
        <row r="284">
          <cell r="D284" t="str">
            <v>MM</v>
          </cell>
        </row>
        <row r="285">
          <cell r="B285" t="str">
            <v>Spojovací a montážní materiál, nosné pomocné</v>
          </cell>
          <cell r="C285" t="str">
            <v>Spojovací a montážní materiál, nosné pomocné
ocelové konstrukce pro kabelové vedení MaR</v>
          </cell>
          <cell r="D285" t="str">
            <v>MM</v>
          </cell>
          <cell r="E285">
            <v>869.5652173913044</v>
          </cell>
          <cell r="F285">
            <v>0</v>
          </cell>
        </row>
        <row r="286">
          <cell r="B286" t="str">
            <v>Kabelové žlaby vč. Víka MARS 62x50 měření a regul.</v>
          </cell>
          <cell r="C286" t="str">
            <v>Kabelové žlaby vč. Víka MARS 62x50 měření a regul.</v>
          </cell>
          <cell r="D286" t="str">
            <v>MM</v>
          </cell>
          <cell r="E286">
            <v>170.43478260869566</v>
          </cell>
          <cell r="F286">
            <v>50</v>
          </cell>
        </row>
        <row r="287">
          <cell r="B287" t="str">
            <v>Kabelový ocelový rošt š 400mm pro vedení MaR</v>
          </cell>
          <cell r="C287" t="str">
            <v>Kabelový ocelový rošt š 400mm pro vedení MaR
vč. závěsu pro uchycení na stěnu do betonu</v>
          </cell>
          <cell r="D287" t="str">
            <v>MM</v>
          </cell>
          <cell r="E287">
            <v>165.21739130434784</v>
          </cell>
          <cell r="F287">
            <v>50</v>
          </cell>
        </row>
        <row r="288">
          <cell r="B288" t="str">
            <v>Kabelové žlaby vč. Víka MARS 62x50 silnoproud</v>
          </cell>
          <cell r="C288" t="str">
            <v>Kabelové žlaby vč. Víka MARS 62x50 silnoproud</v>
          </cell>
          <cell r="D288" t="str">
            <v>MM</v>
          </cell>
          <cell r="E288">
            <v>170.43478260869566</v>
          </cell>
          <cell r="F288">
            <v>50</v>
          </cell>
        </row>
        <row r="289">
          <cell r="B289" t="str">
            <v>Koleno MARS 62x50 žlabu vč.víka</v>
          </cell>
          <cell r="C289" t="str">
            <v>Koleno MARS 62x50 žlabu vč.víka</v>
          </cell>
          <cell r="D289" t="str">
            <v>MM</v>
          </cell>
          <cell r="E289">
            <v>160.8695652173913</v>
          </cell>
          <cell r="F289">
            <v>50</v>
          </cell>
        </row>
        <row r="290">
          <cell r="B290" t="str">
            <v>T kus MARS 62x50 žlabu vč.víka</v>
          </cell>
          <cell r="C290" t="str">
            <v>T kus MARS 62x50 žlabu vč.víka</v>
          </cell>
          <cell r="D290" t="str">
            <v>MM</v>
          </cell>
          <cell r="E290">
            <v>173.91304347826087</v>
          </cell>
          <cell r="F290">
            <v>50</v>
          </cell>
        </row>
        <row r="291">
          <cell r="B291" t="str">
            <v>Lišta DIN TS 35/50</v>
          </cell>
          <cell r="C291" t="str">
            <v>Lišta DIN TS 35/50</v>
          </cell>
          <cell r="D291" t="str">
            <v>MM</v>
          </cell>
          <cell r="E291">
            <v>39.130434782608695</v>
          </cell>
          <cell r="F291">
            <v>6.25</v>
          </cell>
        </row>
        <row r="292">
          <cell r="B292" t="str">
            <v>Příchytka M-Quick 2</v>
          </cell>
          <cell r="C292" t="str">
            <v>Příchytka M-Quick 2</v>
          </cell>
          <cell r="D292" t="str">
            <v>MM</v>
          </cell>
          <cell r="E292">
            <v>3.0434782608695654</v>
          </cell>
          <cell r="F292">
            <v>2.5</v>
          </cell>
        </row>
        <row r="293">
          <cell r="B293" t="str">
            <v>Příchytka M-Quick 3</v>
          </cell>
          <cell r="C293" t="str">
            <v>Příchytka M-Quick 3</v>
          </cell>
          <cell r="D293" t="str">
            <v>MM</v>
          </cell>
          <cell r="E293">
            <v>3.91304347826087</v>
          </cell>
          <cell r="F293">
            <v>2.5</v>
          </cell>
        </row>
        <row r="294">
          <cell r="B294" t="str">
            <v>PVC novodurová roura 2323</v>
          </cell>
          <cell r="C294" t="str">
            <v>PVC novodurová roura 2323</v>
          </cell>
          <cell r="D294" t="str">
            <v>MM</v>
          </cell>
          <cell r="E294">
            <v>6.9565217391304355</v>
          </cell>
          <cell r="F294">
            <v>3</v>
          </cell>
        </row>
        <row r="295">
          <cell r="B295" t="str">
            <v>PVC novodurová roura 2329</v>
          </cell>
          <cell r="C295" t="str">
            <v>PVC novodurová roura 2329</v>
          </cell>
          <cell r="D295" t="str">
            <v>MM</v>
          </cell>
          <cell r="E295">
            <v>10.869565217391305</v>
          </cell>
          <cell r="F295">
            <v>3</v>
          </cell>
        </row>
        <row r="296">
          <cell r="B296" t="str">
            <v>PVC novodurová roura 2336</v>
          </cell>
          <cell r="C296" t="str">
            <v>PVC novodurová roura 2336</v>
          </cell>
          <cell r="D296" t="str">
            <v>MM</v>
          </cell>
          <cell r="E296">
            <v>12.173913043478262</v>
          </cell>
          <cell r="F296">
            <v>3</v>
          </cell>
        </row>
        <row r="297">
          <cell r="B297" t="str">
            <v>Vývodky Pg 13,5 komplet</v>
          </cell>
          <cell r="C297" t="str">
            <v>Vývodky Pg 13,5 komplet</v>
          </cell>
          <cell r="D297" t="str">
            <v>MM</v>
          </cell>
          <cell r="E297">
            <v>7.82608695652174</v>
          </cell>
          <cell r="F297">
            <v>2.5</v>
          </cell>
        </row>
        <row r="298">
          <cell r="B298" t="str">
            <v>Trhací nýt 4x8</v>
          </cell>
          <cell r="C298" t="str">
            <v>Trhací nýt 4x8</v>
          </cell>
          <cell r="D298" t="str">
            <v>MM</v>
          </cell>
          <cell r="E298">
            <v>1.7391304347826089</v>
          </cell>
          <cell r="F298">
            <v>1.25</v>
          </cell>
        </row>
        <row r="299">
          <cell r="B299" t="str">
            <v>PE držák rour</v>
          </cell>
          <cell r="C299" t="str">
            <v>PE držák rour</v>
          </cell>
          <cell r="D299" t="str">
            <v>MM</v>
          </cell>
          <cell r="E299">
            <v>4.347826086956522</v>
          </cell>
          <cell r="F299">
            <v>2.5</v>
          </cell>
        </row>
        <row r="300">
          <cell r="B300" t="str">
            <v>Páska DYMO 40913 9 mm</v>
          </cell>
          <cell r="C300" t="str">
            <v>Páska DYMO 40913 9 mm</v>
          </cell>
          <cell r="D300" t="str">
            <v>MM</v>
          </cell>
          <cell r="E300">
            <v>52.173913043478265</v>
          </cell>
          <cell r="F300">
            <v>0</v>
          </cell>
        </row>
        <row r="301">
          <cell r="B301" t="str">
            <v>Drobný spojovací matriál</v>
          </cell>
          <cell r="C301" t="str">
            <v>Drobný spojovací matriál</v>
          </cell>
          <cell r="D301" t="str">
            <v>MM</v>
          </cell>
          <cell r="E301">
            <v>86.95652173913044</v>
          </cell>
          <cell r="F301">
            <v>0</v>
          </cell>
        </row>
        <row r="302">
          <cell r="B302" t="str">
            <v>Trubky ocelové pr.30mm</v>
          </cell>
          <cell r="C302" t="str">
            <v>Trubky ocelové pr.30mm</v>
          </cell>
          <cell r="D302" t="str">
            <v>MM</v>
          </cell>
          <cell r="E302">
            <v>48.69565217391305</v>
          </cell>
          <cell r="F302">
            <v>7.5</v>
          </cell>
        </row>
        <row r="303">
          <cell r="B303" t="str">
            <v>Ocelové příchytky SONAP</v>
          </cell>
          <cell r="C303" t="str">
            <v>Ocelové příchytky SONAP</v>
          </cell>
          <cell r="D303" t="str">
            <v>MM</v>
          </cell>
          <cell r="E303">
            <v>13.043478260869566</v>
          </cell>
          <cell r="F303">
            <v>2.5</v>
          </cell>
        </row>
        <row r="304">
          <cell r="B304" t="str">
            <v>Elektroinstalační krabice Hensel s řadovými</v>
          </cell>
          <cell r="C304" t="str">
            <v>Elektroinstalační krabice Hensel s řadovými
svorkami K9101/CR, vč.6ks Pg16 vývodek</v>
          </cell>
          <cell r="D304" t="str">
            <v>MM</v>
          </cell>
          <cell r="E304">
            <v>534.7826086956522</v>
          </cell>
          <cell r="F304">
            <v>37.5</v>
          </cell>
        </row>
        <row r="305">
          <cell r="B305" t="str">
            <v>PVC chránička průměr 100 pod silnicí</v>
          </cell>
          <cell r="C305" t="str">
            <v>PVC chránička průměr 100 pod silnicí</v>
          </cell>
          <cell r="D305" t="str">
            <v>MM</v>
          </cell>
          <cell r="E305">
            <v>69.56521739130436</v>
          </cell>
          <cell r="F305">
            <v>3</v>
          </cell>
        </row>
        <row r="306">
          <cell r="B306" t="str">
            <v>PVC ohebná kabelová ochranná roura pr.50  KOPOS</v>
          </cell>
          <cell r="C306" t="str">
            <v>PVC ohebná kabelová ochranná roura pr.50  KOPOS</v>
          </cell>
          <cell r="D306" t="str">
            <v>MM</v>
          </cell>
          <cell r="E306">
            <v>13.739130434782611</v>
          </cell>
          <cell r="F306">
            <v>3</v>
          </cell>
        </row>
        <row r="307">
          <cell r="B307" t="str">
            <v>Kabelový výkop hl 80 š 50 pro kabelové vedení</v>
          </cell>
          <cell r="C307" t="str">
            <v>Kabelový výkop hl 80 š 50 pro kabelové vedení
vč.pískového lože</v>
          </cell>
          <cell r="D307" t="str">
            <v>MM</v>
          </cell>
          <cell r="E307">
            <v>0</v>
          </cell>
          <cell r="F307">
            <v>100</v>
          </cell>
        </row>
        <row r="308">
          <cell r="B308" t="str">
            <v>PE výstražná folie pro el.zemní vedení</v>
          </cell>
          <cell r="C308" t="str">
            <v>PE výstražná folie pro el.zemní vedení</v>
          </cell>
          <cell r="D308" t="str">
            <v>MM</v>
          </cell>
          <cell r="E308">
            <v>2.608695652173913</v>
          </cell>
          <cell r="F308">
            <v>0.5</v>
          </cell>
        </row>
        <row r="309">
          <cell r="B309" t="str">
            <v>Nátěrová hmota na železo</v>
          </cell>
          <cell r="C309" t="str">
            <v>Nátěrová hmota na železo</v>
          </cell>
          <cell r="D309" t="str">
            <v>MM</v>
          </cell>
          <cell r="E309">
            <v>173.91304347826087</v>
          </cell>
          <cell r="F309">
            <v>75</v>
          </cell>
        </row>
        <row r="310">
          <cell r="B310" t="str">
            <v>PU pěna nebo těsnící materiál</v>
          </cell>
          <cell r="C310" t="str">
            <v>PU pěna nebo těsnící materiál</v>
          </cell>
          <cell r="D310" t="str">
            <v>MM</v>
          </cell>
          <cell r="E310">
            <v>434.7826086956522</v>
          </cell>
          <cell r="F310">
            <v>25</v>
          </cell>
        </row>
        <row r="313">
          <cell r="B313" t="str">
            <v>Skříňový rozvaděč 2000x800x600 sokl 100
krytí IP40, vývod spodem, RAL7032, kompletní</v>
          </cell>
          <cell r="C313" t="str">
            <v>Skříňový rozvaděč 2000x800x600 sokl 100
krytí IP40, vývod spodem, RAL7032, kompletní</v>
          </cell>
          <cell r="D313" t="str">
            <v>rozv</v>
          </cell>
          <cell r="E313">
            <v>29910</v>
          </cell>
          <cell r="F313">
            <v>400</v>
          </cell>
        </row>
        <row r="314">
          <cell r="B314" t="str">
            <v>Jištění 6A/230V s pom. Kontakty</v>
          </cell>
          <cell r="C314" t="str">
            <v>Jištění 6A/230V s pom. Kontakty</v>
          </cell>
          <cell r="D314" t="str">
            <v>rozv</v>
          </cell>
          <cell r="E314">
            <v>266</v>
          </cell>
        </row>
        <row r="315">
          <cell r="B315" t="str">
            <v>Jištění 16A/230V s pom. Kontakty</v>
          </cell>
          <cell r="C315" t="str">
            <v>Jištění 16A/230V s pom. Kontakty</v>
          </cell>
          <cell r="D315" t="str">
            <v>rozv</v>
          </cell>
          <cell r="E315">
            <v>252</v>
          </cell>
        </row>
        <row r="316">
          <cell r="B316" t="str">
            <v>Řídící systém PDC2 SAIA * viz bod b)</v>
          </cell>
          <cell r="C316" t="str">
            <v>Řídící systém PDC2 SAIA * viz bod b)</v>
          </cell>
          <cell r="D316" t="str">
            <v>rozv</v>
          </cell>
        </row>
        <row r="317">
          <cell r="B317" t="str">
            <v>Svorky Phoenix do 2,5qmm</v>
          </cell>
          <cell r="C317" t="str">
            <v>Svorky Phoenix do 2,5qmm</v>
          </cell>
          <cell r="D317" t="str">
            <v>rozv</v>
          </cell>
          <cell r="E317">
            <v>20</v>
          </cell>
        </row>
        <row r="318">
          <cell r="B318" t="str">
            <v>Pomocné napájecí vývody do 4A/230V</v>
          </cell>
          <cell r="C318" t="str">
            <v>Pomocné napájecí vývody do 4A/230V</v>
          </cell>
          <cell r="D318" t="str">
            <v>rozv</v>
          </cell>
          <cell r="E318">
            <v>380</v>
          </cell>
        </row>
        <row r="319">
          <cell r="B319" t="str">
            <v>Rozjišťovací desky pojistek 24V s optickým
výstupem sumární poruchy</v>
          </cell>
          <cell r="C319" t="str">
            <v>Rozjišťovací desky pojistek 24V s optickým
výstupem sumární poruchy</v>
          </cell>
          <cell r="D319" t="str">
            <v>rozv</v>
          </cell>
          <cell r="E319">
            <v>1500</v>
          </cell>
        </row>
        <row r="320">
          <cell r="B320" t="str">
            <v>Mikrorelé Finder 6mm 24VDC vč. Patice</v>
          </cell>
          <cell r="C320" t="str">
            <v>Mikrorelé Finder 6mm 24VDC vč. Patice</v>
          </cell>
          <cell r="D320" t="str">
            <v>rozv</v>
          </cell>
          <cell r="E320">
            <v>150</v>
          </cell>
        </row>
        <row r="321">
          <cell r="B321" t="str">
            <v>Napájecí zdroj 24VDC-8A</v>
          </cell>
          <cell r="C321" t="str">
            <v>Napájecí zdroj 24VDC-8A</v>
          </cell>
          <cell r="D321" t="str">
            <v>rozv</v>
          </cell>
          <cell r="E321">
            <v>900</v>
          </cell>
        </row>
        <row r="322">
          <cell r="B322" t="str">
            <v>Napájecí zdroj 24VAC-300VA</v>
          </cell>
          <cell r="C322" t="str">
            <v>Napájecí zdroj 24VAC-300VA</v>
          </cell>
          <cell r="D322" t="str">
            <v>rozv</v>
          </cell>
          <cell r="E322">
            <v>5750</v>
          </cell>
        </row>
        <row r="323">
          <cell r="B323" t="str">
            <v>Vnitřní osvětlení skříně - zářivková trubice kompl.</v>
          </cell>
          <cell r="C323" t="str">
            <v>Vnitřní osvětlení skříně - zářivková trubice kompl.</v>
          </cell>
          <cell r="D323" t="str">
            <v>rozv</v>
          </cell>
          <cell r="E323">
            <v>1025</v>
          </cell>
        </row>
        <row r="324">
          <cell r="B324" t="str">
            <v>Servisní zásuvka 230V/10A</v>
          </cell>
          <cell r="C324" t="str">
            <v>Servisní zásuvka 230V/10A</v>
          </cell>
          <cell r="D324" t="str">
            <v>rozv</v>
          </cell>
          <cell r="E324">
            <v>147</v>
          </cell>
        </row>
        <row r="325">
          <cell r="B325" t="str">
            <v>Přepěťová ochrana sítě 230V 3.stupně</v>
          </cell>
          <cell r="C325" t="str">
            <v>Přepěťová ochrana sítě 230V 3.stupně</v>
          </cell>
          <cell r="D325" t="str">
            <v>rozv</v>
          </cell>
          <cell r="E325">
            <v>1725</v>
          </cell>
        </row>
        <row r="326">
          <cell r="B326" t="str">
            <v>Přepěťová ochrana linky komunikace RS485</v>
          </cell>
          <cell r="C326" t="str">
            <v>Přepěťová ochrana linky komunikace RS485</v>
          </cell>
          <cell r="D326" t="str">
            <v>rozv</v>
          </cell>
          <cell r="E326">
            <v>1245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ha"/>
      <sheetName val="Lbc"/>
      <sheetName val="Nákl"/>
      <sheetName val="Rozp"/>
      <sheetName val="CS"/>
      <sheetName val="LON"/>
      <sheetName val="Hwl"/>
      <sheetName val="Lan"/>
      <sheetName val="Rozv"/>
      <sheetName val="COP"/>
      <sheetName val="Silno"/>
      <sheetName val="AnlgSním"/>
      <sheetName val="Kab"/>
      <sheetName val="BinSním"/>
      <sheetName val="VentPoh"/>
      <sheetName val="Ost"/>
      <sheetName val="NabMakra"/>
      <sheetName val="položky"/>
      <sheetName val="app_6"/>
      <sheetName val="dodav"/>
    </sheetNames>
    <sheetDataSet>
      <sheetData sheetId="0"/>
      <sheetData sheetId="1"/>
      <sheetData sheetId="2"/>
      <sheetData sheetId="3">
        <row r="22">
          <cell r="C22">
            <v>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ha"/>
      <sheetName val="Lbc"/>
      <sheetName val="Nákl"/>
      <sheetName val="Rozp"/>
      <sheetName val="CS"/>
      <sheetName val="LON"/>
      <sheetName val="Hwl"/>
      <sheetName val="Lan"/>
      <sheetName val="Rozv"/>
      <sheetName val="COP"/>
      <sheetName val="Silno"/>
      <sheetName val="AnlgSním"/>
      <sheetName val="Kab"/>
      <sheetName val="BinSním"/>
      <sheetName val="VentPoh"/>
      <sheetName val="Ost"/>
      <sheetName val="NabMakra"/>
      <sheetName val="mar"/>
      <sheetName val="dodav"/>
    </sheetNames>
    <sheetDataSet>
      <sheetData sheetId="0"/>
      <sheetData sheetId="1"/>
      <sheetData sheetId="2"/>
      <sheetData sheetId="3">
        <row r="22">
          <cell r="I22">
            <v>1.2950190000000001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TERIAL"/>
      <sheetName val="MZDY"/>
      <sheetName val="KONSTRUKCE"/>
      <sheetName val="SEZNAM"/>
      <sheetName val="soupis mezd"/>
      <sheetName val="List4"/>
      <sheetName val="List1"/>
      <sheetName val="SOUPIS MAT."/>
      <sheetName val="OBALKA"/>
      <sheetName val="chybí"/>
      <sheetName val="mar"/>
      <sheetName val="dodav"/>
      <sheetName val="Rekapitulace"/>
    </sheetNames>
    <sheetDataSet>
      <sheetData sheetId="0">
        <row r="87">
          <cell r="B87" t="str">
            <v>Donn Novatone Fissured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um A"/>
      <sheetName val="dum B"/>
      <sheetName val="dum C"/>
      <sheetName val="Hrubá"/>
      <sheetName val="Místnosti"/>
      <sheetName val="Povrchy"/>
      <sheetName val="Tabulky"/>
      <sheetName val="Piloty"/>
      <sheetName val="Kritéria"/>
      <sheetName val="úprava faktury"/>
      <sheetName val="dodav"/>
      <sheetName val="Stavba"/>
    </sheetNames>
    <sheetDataSet>
      <sheetData sheetId="0"/>
      <sheetData sheetId="1"/>
      <sheetData sheetId="2"/>
      <sheetData sheetId="3"/>
      <sheetData sheetId="4">
        <row r="11">
          <cell r="G11">
            <v>129.1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ební část"/>
      <sheetName val="ZTI"/>
      <sheetName val="Venkovní práce a IS"/>
      <sheetName val="Vedlejší náklady"/>
      <sheetName val="1.1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kap.  SO 02"/>
      <sheetName val="Sešit3"/>
      <sheetName val="Rekapitulace"/>
      <sheetName val="položk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ha"/>
      <sheetName val="Lbc"/>
      <sheetName val="Nákl"/>
      <sheetName val="Rozp"/>
      <sheetName val="CS"/>
      <sheetName val="LON"/>
      <sheetName val="Hwl"/>
      <sheetName val="Lan"/>
      <sheetName val="Rozv"/>
      <sheetName val="COP"/>
      <sheetName val="Silno"/>
      <sheetName val="AnlgSním"/>
      <sheetName val="Kab"/>
      <sheetName val="BinSním"/>
      <sheetName val="VentPoh"/>
      <sheetName val="KabelyElis"/>
      <sheetName val="Ost"/>
      <sheetName val="NabMak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</sheetNames>
    <sheetDataSet>
      <sheetData sheetId="0"/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d."/>
      <sheetName val="Nákladová kalkulace"/>
      <sheetName val="Celková rekapitulace"/>
      <sheetName val="rekapitulace SO 07"/>
      <sheetName val="Budova"/>
      <sheetName val="Venky"/>
      <sheetName val="Sazby R,Ri,Z"/>
      <sheetName val="ZS, VR"/>
      <sheetName val="Financování"/>
      <sheetName val="Platební kalendář"/>
      <sheetName val="x"/>
      <sheetName val="Chlum u Třeboně REKAP"/>
      <sheetName val="položkový rozpoč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A11">
            <v>3</v>
          </cell>
        </row>
        <row r="13">
          <cell r="A13" t="str">
            <v>1.</v>
          </cell>
        </row>
        <row r="14">
          <cell r="A14" t="str">
            <v>2.</v>
          </cell>
        </row>
        <row r="15">
          <cell r="A15" t="str">
            <v>3.</v>
          </cell>
        </row>
        <row r="16">
          <cell r="A16" t="str">
            <v>4.</v>
          </cell>
        </row>
        <row r="17">
          <cell r="A17" t="str">
            <v>5.</v>
          </cell>
        </row>
        <row r="18">
          <cell r="A18" t="str">
            <v>6.</v>
          </cell>
        </row>
        <row r="19">
          <cell r="A19" t="str">
            <v>7.</v>
          </cell>
        </row>
        <row r="21">
          <cell r="A21">
            <v>6</v>
          </cell>
        </row>
        <row r="23">
          <cell r="A23" t="str">
            <v>1.</v>
          </cell>
        </row>
        <row r="24">
          <cell r="A24" t="str">
            <v>3.</v>
          </cell>
        </row>
        <row r="25">
          <cell r="A25" t="str">
            <v>4.</v>
          </cell>
        </row>
        <row r="26">
          <cell r="A26" t="str">
            <v>5.</v>
          </cell>
        </row>
        <row r="27">
          <cell r="A27" t="str">
            <v>6.</v>
          </cell>
        </row>
        <row r="28">
          <cell r="A28" t="str">
            <v>7.</v>
          </cell>
        </row>
        <row r="29">
          <cell r="A29" t="str">
            <v>8.</v>
          </cell>
        </row>
        <row r="30">
          <cell r="A30" t="str">
            <v>9.</v>
          </cell>
        </row>
        <row r="31">
          <cell r="A31" t="str">
            <v>10.</v>
          </cell>
        </row>
        <row r="32">
          <cell r="A32" t="str">
            <v>11.</v>
          </cell>
        </row>
        <row r="34">
          <cell r="A34" t="str">
            <v>12.</v>
          </cell>
        </row>
        <row r="35">
          <cell r="A35" t="str">
            <v>13.</v>
          </cell>
        </row>
        <row r="36">
          <cell r="A36" t="str">
            <v>14.</v>
          </cell>
        </row>
        <row r="38">
          <cell r="A38" t="str">
            <v>15.</v>
          </cell>
        </row>
        <row r="39">
          <cell r="A39" t="str">
            <v>16.</v>
          </cell>
        </row>
        <row r="40">
          <cell r="A40" t="str">
            <v>17.</v>
          </cell>
        </row>
        <row r="44">
          <cell r="A44" t="str">
            <v>1.</v>
          </cell>
        </row>
        <row r="45">
          <cell r="A45" t="str">
            <v>2.</v>
          </cell>
        </row>
        <row r="47">
          <cell r="A47" t="str">
            <v>3.</v>
          </cell>
        </row>
        <row r="49">
          <cell r="A49" t="str">
            <v>4.</v>
          </cell>
        </row>
        <row r="51">
          <cell r="A51" t="str">
            <v>5.</v>
          </cell>
        </row>
        <row r="52">
          <cell r="A52" t="str">
            <v>6.</v>
          </cell>
        </row>
        <row r="53">
          <cell r="A53" t="str">
            <v>7.</v>
          </cell>
        </row>
        <row r="55">
          <cell r="A55" t="str">
            <v>8.</v>
          </cell>
        </row>
        <row r="56">
          <cell r="A56" t="str">
            <v>9.</v>
          </cell>
        </row>
        <row r="58">
          <cell r="A58">
            <v>9</v>
          </cell>
        </row>
        <row r="60">
          <cell r="A60" t="str">
            <v>1.</v>
          </cell>
        </row>
        <row r="63">
          <cell r="A63" t="str">
            <v>2.</v>
          </cell>
        </row>
        <row r="67">
          <cell r="A67" t="str">
            <v>3.</v>
          </cell>
        </row>
        <row r="70">
          <cell r="A70" t="str">
            <v>4.</v>
          </cell>
        </row>
        <row r="73">
          <cell r="A73" t="str">
            <v>5.</v>
          </cell>
        </row>
        <row r="76">
          <cell r="A76" t="str">
            <v>6.</v>
          </cell>
        </row>
        <row r="79">
          <cell r="A79" t="str">
            <v>8.</v>
          </cell>
        </row>
        <row r="81">
          <cell r="A81" t="str">
            <v>9.</v>
          </cell>
        </row>
        <row r="83">
          <cell r="A83" t="str">
            <v>10.</v>
          </cell>
        </row>
        <row r="86">
          <cell r="A86">
            <v>711</v>
          </cell>
        </row>
        <row r="89">
          <cell r="A89" t="str">
            <v>1.</v>
          </cell>
        </row>
        <row r="91">
          <cell r="A91" t="str">
            <v>2.</v>
          </cell>
        </row>
        <row r="92">
          <cell r="A92" t="str">
            <v>3.</v>
          </cell>
        </row>
        <row r="94">
          <cell r="A94" t="str">
            <v>4.</v>
          </cell>
        </row>
        <row r="95">
          <cell r="A95" t="str">
            <v>5.</v>
          </cell>
        </row>
        <row r="96">
          <cell r="A96" t="str">
            <v>6.</v>
          </cell>
        </row>
        <row r="97">
          <cell r="A97" t="str">
            <v>7.</v>
          </cell>
        </row>
        <row r="100">
          <cell r="A100" t="str">
            <v>8.</v>
          </cell>
        </row>
        <row r="101">
          <cell r="A101" t="str">
            <v>9.</v>
          </cell>
        </row>
        <row r="102">
          <cell r="A102" t="str">
            <v>10.</v>
          </cell>
        </row>
        <row r="103">
          <cell r="A103" t="str">
            <v>11.</v>
          </cell>
        </row>
        <row r="105">
          <cell r="A105">
            <v>713</v>
          </cell>
        </row>
        <row r="108">
          <cell r="A108" t="str">
            <v>1.</v>
          </cell>
        </row>
        <row r="109">
          <cell r="A109" t="str">
            <v>2.</v>
          </cell>
        </row>
        <row r="110">
          <cell r="A110" t="str">
            <v>3.</v>
          </cell>
        </row>
        <row r="111">
          <cell r="A111" t="str">
            <v>4.</v>
          </cell>
        </row>
        <row r="112">
          <cell r="A112" t="str">
            <v>5.</v>
          </cell>
        </row>
        <row r="116">
          <cell r="A116" t="str">
            <v>6.</v>
          </cell>
        </row>
        <row r="117">
          <cell r="A117" t="str">
            <v>7.</v>
          </cell>
        </row>
        <row r="118">
          <cell r="A118" t="str">
            <v>8.</v>
          </cell>
        </row>
        <row r="119">
          <cell r="A119" t="str">
            <v>9.</v>
          </cell>
        </row>
        <row r="120">
          <cell r="A120" t="str">
            <v>10.</v>
          </cell>
        </row>
        <row r="121">
          <cell r="A121" t="str">
            <v>11.</v>
          </cell>
        </row>
        <row r="122">
          <cell r="A122" t="str">
            <v>12.</v>
          </cell>
        </row>
        <row r="125">
          <cell r="A125" t="str">
            <v>13.</v>
          </cell>
        </row>
        <row r="126">
          <cell r="A126" t="str">
            <v>14.</v>
          </cell>
        </row>
        <row r="127">
          <cell r="A127" t="str">
            <v>15.</v>
          </cell>
        </row>
        <row r="128">
          <cell r="A128" t="str">
            <v>16.</v>
          </cell>
        </row>
        <row r="129">
          <cell r="A129" t="str">
            <v>17.</v>
          </cell>
        </row>
        <row r="131">
          <cell r="A131">
            <v>764</v>
          </cell>
        </row>
        <row r="134">
          <cell r="A134" t="str">
            <v>1.</v>
          </cell>
        </row>
        <row r="135">
          <cell r="A135" t="str">
            <v>2.</v>
          </cell>
        </row>
        <row r="137">
          <cell r="A137" t="str">
            <v>3.</v>
          </cell>
        </row>
        <row r="138">
          <cell r="A138" t="str">
            <v>4.</v>
          </cell>
        </row>
        <row r="140">
          <cell r="A140" t="str">
            <v>5.</v>
          </cell>
        </row>
        <row r="141">
          <cell r="A141" t="str">
            <v>6.</v>
          </cell>
        </row>
        <row r="142">
          <cell r="A142" t="str">
            <v>7.</v>
          </cell>
        </row>
        <row r="144">
          <cell r="A144" t="str">
            <v>8.</v>
          </cell>
        </row>
        <row r="145">
          <cell r="A145" t="str">
            <v>9.</v>
          </cell>
        </row>
        <row r="146">
          <cell r="A146" t="str">
            <v>10.</v>
          </cell>
        </row>
        <row r="147">
          <cell r="A147" t="str">
            <v>11.</v>
          </cell>
        </row>
        <row r="149">
          <cell r="A149" t="str">
            <v>12.</v>
          </cell>
        </row>
        <row r="150">
          <cell r="A150" t="str">
            <v>13.</v>
          </cell>
        </row>
        <row r="152">
          <cell r="A152" t="str">
            <v>14.</v>
          </cell>
        </row>
        <row r="153">
          <cell r="A153" t="str">
            <v>15.</v>
          </cell>
        </row>
        <row r="154">
          <cell r="A154" t="str">
            <v>16.</v>
          </cell>
        </row>
        <row r="156">
          <cell r="A156" t="str">
            <v>17.</v>
          </cell>
        </row>
        <row r="157">
          <cell r="A157" t="str">
            <v>18.</v>
          </cell>
        </row>
        <row r="158">
          <cell r="A158" t="str">
            <v>19.</v>
          </cell>
        </row>
        <row r="160">
          <cell r="A160" t="str">
            <v>20.</v>
          </cell>
        </row>
        <row r="163">
          <cell r="A163" t="str">
            <v>21.</v>
          </cell>
        </row>
        <row r="164">
          <cell r="A164" t="str">
            <v>22.</v>
          </cell>
        </row>
        <row r="165">
          <cell r="A165" t="str">
            <v>23.</v>
          </cell>
        </row>
        <row r="167">
          <cell r="A167" t="str">
            <v>24.</v>
          </cell>
        </row>
        <row r="168">
          <cell r="A168" t="str">
            <v>25.</v>
          </cell>
        </row>
        <row r="169">
          <cell r="A169" t="str">
            <v>26.</v>
          </cell>
        </row>
        <row r="170">
          <cell r="A170" t="str">
            <v>27.</v>
          </cell>
        </row>
        <row r="172">
          <cell r="A172" t="str">
            <v>28.</v>
          </cell>
        </row>
        <row r="173">
          <cell r="A173" t="str">
            <v>29.</v>
          </cell>
        </row>
        <row r="175">
          <cell r="A175" t="str">
            <v>30.</v>
          </cell>
        </row>
        <row r="177">
          <cell r="A177" t="str">
            <v>31.</v>
          </cell>
        </row>
        <row r="178">
          <cell r="A178" t="str">
            <v>32.</v>
          </cell>
        </row>
        <row r="179">
          <cell r="A179" t="str">
            <v>33.</v>
          </cell>
        </row>
        <row r="181">
          <cell r="A181" t="str">
            <v>34.</v>
          </cell>
        </row>
        <row r="183">
          <cell r="A183" t="str">
            <v>35.</v>
          </cell>
        </row>
        <row r="187">
          <cell r="A187">
            <v>766</v>
          </cell>
        </row>
        <row r="189">
          <cell r="A189" t="str">
            <v>1.</v>
          </cell>
        </row>
        <row r="192">
          <cell r="A192" t="str">
            <v>2.</v>
          </cell>
        </row>
        <row r="195">
          <cell r="A195" t="str">
            <v>3.</v>
          </cell>
        </row>
        <row r="198">
          <cell r="A198" t="str">
            <v>4.</v>
          </cell>
        </row>
        <row r="201">
          <cell r="A201" t="str">
            <v>5.</v>
          </cell>
        </row>
        <row r="205">
          <cell r="A205" t="str">
            <v>6a</v>
          </cell>
        </row>
        <row r="210">
          <cell r="A210" t="str">
            <v>6b</v>
          </cell>
        </row>
        <row r="215">
          <cell r="A215" t="str">
            <v>6c</v>
          </cell>
        </row>
        <row r="220">
          <cell r="A220" t="str">
            <v>7.</v>
          </cell>
        </row>
        <row r="225">
          <cell r="A225" t="str">
            <v>8.</v>
          </cell>
        </row>
        <row r="230">
          <cell r="A230" t="str">
            <v>9.</v>
          </cell>
        </row>
        <row r="236">
          <cell r="A236" t="str">
            <v>10.</v>
          </cell>
        </row>
        <row r="241">
          <cell r="A241" t="str">
            <v>11.</v>
          </cell>
        </row>
        <row r="246">
          <cell r="A246" t="str">
            <v>12.</v>
          </cell>
        </row>
        <row r="251">
          <cell r="A251" t="str">
            <v>13.</v>
          </cell>
        </row>
        <row r="256">
          <cell r="A256" t="str">
            <v>14.</v>
          </cell>
        </row>
        <row r="261">
          <cell r="A261">
            <v>767</v>
          </cell>
        </row>
        <row r="266">
          <cell r="A266" t="str">
            <v>1.</v>
          </cell>
        </row>
        <row r="271">
          <cell r="A271" t="str">
            <v>2.</v>
          </cell>
        </row>
        <row r="273">
          <cell r="A273" t="str">
            <v>3.</v>
          </cell>
        </row>
        <row r="276">
          <cell r="A276" t="str">
            <v>4.</v>
          </cell>
        </row>
        <row r="280">
          <cell r="A280" t="str">
            <v>5.</v>
          </cell>
        </row>
        <row r="284">
          <cell r="A284" t="str">
            <v>6.</v>
          </cell>
        </row>
        <row r="289">
          <cell r="A289" t="str">
            <v>7.</v>
          </cell>
        </row>
        <row r="292">
          <cell r="A292" t="str">
            <v>8.</v>
          </cell>
        </row>
        <row r="296">
          <cell r="A296" t="str">
            <v>9.</v>
          </cell>
        </row>
        <row r="299">
          <cell r="A299" t="str">
            <v>10.</v>
          </cell>
        </row>
        <row r="302">
          <cell r="A302" t="str">
            <v>11.</v>
          </cell>
        </row>
        <row r="305">
          <cell r="A305" t="str">
            <v>12.</v>
          </cell>
        </row>
        <row r="308">
          <cell r="A308" t="str">
            <v>13.</v>
          </cell>
        </row>
        <row r="310">
          <cell r="A310" t="str">
            <v>14.</v>
          </cell>
        </row>
        <row r="314">
          <cell r="A314" t="str">
            <v>15.</v>
          </cell>
        </row>
        <row r="318">
          <cell r="A318" t="str">
            <v>16.</v>
          </cell>
        </row>
        <row r="323">
          <cell r="A323" t="str">
            <v>17.</v>
          </cell>
        </row>
        <row r="326">
          <cell r="A326" t="str">
            <v>18.</v>
          </cell>
        </row>
        <row r="330">
          <cell r="A330" t="str">
            <v>19.</v>
          </cell>
        </row>
        <row r="335">
          <cell r="A335" t="str">
            <v>20.</v>
          </cell>
        </row>
        <row r="340">
          <cell r="A340" t="str">
            <v>21.</v>
          </cell>
        </row>
        <row r="345">
          <cell r="A345" t="str">
            <v>22.</v>
          </cell>
        </row>
        <row r="350">
          <cell r="A350" t="str">
            <v>23.</v>
          </cell>
        </row>
        <row r="355">
          <cell r="A355" t="str">
            <v>24.</v>
          </cell>
        </row>
        <row r="360">
          <cell r="A360" t="str">
            <v>25.</v>
          </cell>
        </row>
        <row r="365">
          <cell r="A365" t="str">
            <v>26.</v>
          </cell>
        </row>
        <row r="370">
          <cell r="A370" t="str">
            <v>27.</v>
          </cell>
        </row>
        <row r="375">
          <cell r="A375" t="str">
            <v>28.</v>
          </cell>
        </row>
        <row r="380">
          <cell r="A380" t="str">
            <v>29.</v>
          </cell>
        </row>
        <row r="385">
          <cell r="A385" t="str">
            <v>30.</v>
          </cell>
        </row>
        <row r="390">
          <cell r="A390" t="str">
            <v>31.</v>
          </cell>
        </row>
        <row r="398">
          <cell r="A398" t="str">
            <v>32.</v>
          </cell>
        </row>
        <row r="403">
          <cell r="A403" t="str">
            <v>33.</v>
          </cell>
        </row>
        <row r="408">
          <cell r="A408" t="str">
            <v>34.</v>
          </cell>
        </row>
        <row r="413">
          <cell r="A413" t="str">
            <v>35.</v>
          </cell>
        </row>
        <row r="419">
          <cell r="A419" t="str">
            <v>36.</v>
          </cell>
        </row>
        <row r="426">
          <cell r="A426" t="str">
            <v>37.</v>
          </cell>
        </row>
        <row r="431">
          <cell r="A431" t="str">
            <v>38.</v>
          </cell>
        </row>
        <row r="436">
          <cell r="A436" t="str">
            <v>39.</v>
          </cell>
        </row>
        <row r="441">
          <cell r="A441" t="str">
            <v>40.</v>
          </cell>
        </row>
        <row r="447">
          <cell r="A447" t="str">
            <v>41.</v>
          </cell>
        </row>
        <row r="452">
          <cell r="A452" t="str">
            <v>42.</v>
          </cell>
        </row>
        <row r="456">
          <cell r="A456" t="str">
            <v>43.</v>
          </cell>
        </row>
        <row r="461">
          <cell r="A461" t="str">
            <v>44.</v>
          </cell>
        </row>
        <row r="465">
          <cell r="A465" t="str">
            <v>45.</v>
          </cell>
        </row>
        <row r="469">
          <cell r="A469" t="str">
            <v>46.</v>
          </cell>
        </row>
        <row r="473">
          <cell r="A473" t="str">
            <v>47.</v>
          </cell>
        </row>
        <row r="477">
          <cell r="A477" t="str">
            <v>48.</v>
          </cell>
        </row>
        <row r="481">
          <cell r="A481" t="str">
            <v>48.</v>
          </cell>
        </row>
        <row r="485">
          <cell r="A485" t="str">
            <v>49.</v>
          </cell>
        </row>
        <row r="489">
          <cell r="A489" t="str">
            <v>50.</v>
          </cell>
        </row>
        <row r="494">
          <cell r="A494" t="str">
            <v>51.</v>
          </cell>
        </row>
        <row r="498">
          <cell r="A498" t="str">
            <v>52.</v>
          </cell>
        </row>
        <row r="502">
          <cell r="A502" t="str">
            <v>53.</v>
          </cell>
        </row>
        <row r="506">
          <cell r="A506" t="str">
            <v>54.</v>
          </cell>
        </row>
        <row r="510">
          <cell r="A510" t="str">
            <v>55.</v>
          </cell>
        </row>
        <row r="515">
          <cell r="A515" t="str">
            <v>56.</v>
          </cell>
        </row>
        <row r="520">
          <cell r="A520" t="str">
            <v>57.</v>
          </cell>
        </row>
        <row r="524">
          <cell r="A524" t="str">
            <v>58.</v>
          </cell>
        </row>
        <row r="528">
          <cell r="A528" t="str">
            <v>59.</v>
          </cell>
        </row>
        <row r="533">
          <cell r="A533" t="str">
            <v>60.</v>
          </cell>
        </row>
        <row r="538">
          <cell r="A538" t="str">
            <v>61.</v>
          </cell>
        </row>
        <row r="542">
          <cell r="A542" t="str">
            <v>62.</v>
          </cell>
        </row>
        <row r="546">
          <cell r="A546" t="str">
            <v>63.</v>
          </cell>
        </row>
        <row r="551">
          <cell r="A551" t="str">
            <v>64.</v>
          </cell>
        </row>
        <row r="552">
          <cell r="A552" t="str">
            <v>64a.</v>
          </cell>
        </row>
        <row r="553">
          <cell r="A553" t="str">
            <v>64b.</v>
          </cell>
        </row>
        <row r="561">
          <cell r="A561" t="str">
            <v>65.</v>
          </cell>
        </row>
        <row r="563">
          <cell r="A563" t="str">
            <v>66.</v>
          </cell>
        </row>
        <row r="566">
          <cell r="A566" t="str">
            <v>67.</v>
          </cell>
        </row>
        <row r="569">
          <cell r="A569" t="str">
            <v>68.</v>
          </cell>
        </row>
        <row r="571">
          <cell r="A571" t="str">
            <v>69.</v>
          </cell>
        </row>
        <row r="573">
          <cell r="A573" t="str">
            <v>70.</v>
          </cell>
        </row>
        <row r="579">
          <cell r="A579" t="str">
            <v>71.</v>
          </cell>
        </row>
        <row r="582">
          <cell r="A582" t="str">
            <v>72.</v>
          </cell>
        </row>
        <row r="586">
          <cell r="A586" t="str">
            <v>73.</v>
          </cell>
        </row>
        <row r="590">
          <cell r="A590" t="str">
            <v>74.</v>
          </cell>
        </row>
        <row r="594">
          <cell r="A594" t="str">
            <v>75.</v>
          </cell>
        </row>
        <row r="597">
          <cell r="A597" t="str">
            <v>76.</v>
          </cell>
        </row>
        <row r="600">
          <cell r="A600" t="str">
            <v>77.</v>
          </cell>
        </row>
        <row r="605">
          <cell r="A605">
            <v>771</v>
          </cell>
        </row>
        <row r="607">
          <cell r="A607" t="str">
            <v>1.</v>
          </cell>
        </row>
        <row r="610">
          <cell r="A610" t="str">
            <v>2.</v>
          </cell>
        </row>
        <row r="613">
          <cell r="A613" t="str">
            <v>3.</v>
          </cell>
        </row>
        <row r="618">
          <cell r="A618">
            <v>772</v>
          </cell>
        </row>
        <row r="620">
          <cell r="A620" t="str">
            <v>1.</v>
          </cell>
        </row>
        <row r="623">
          <cell r="A623" t="str">
            <v>2.</v>
          </cell>
        </row>
        <row r="625">
          <cell r="A625" t="str">
            <v>3.</v>
          </cell>
        </row>
        <row r="628">
          <cell r="A628" t="str">
            <v>4.</v>
          </cell>
        </row>
        <row r="631">
          <cell r="A631" t="str">
            <v>5.</v>
          </cell>
        </row>
        <row r="634">
          <cell r="A634" t="str">
            <v>6.</v>
          </cell>
        </row>
        <row r="638">
          <cell r="A638">
            <v>776</v>
          </cell>
        </row>
        <row r="640">
          <cell r="A640" t="str">
            <v>1.</v>
          </cell>
        </row>
        <row r="643">
          <cell r="A643" t="str">
            <v>2.</v>
          </cell>
        </row>
        <row r="646">
          <cell r="A646" t="str">
            <v>3.</v>
          </cell>
        </row>
        <row r="650">
          <cell r="A650">
            <v>777</v>
          </cell>
        </row>
        <row r="652">
          <cell r="A652" t="str">
            <v>1.</v>
          </cell>
        </row>
        <row r="654">
          <cell r="A654" t="str">
            <v>2.</v>
          </cell>
        </row>
        <row r="656">
          <cell r="A656" t="str">
            <v>3.</v>
          </cell>
        </row>
        <row r="658">
          <cell r="A658" t="str">
            <v>4.</v>
          </cell>
        </row>
        <row r="660">
          <cell r="A660" t="str">
            <v>5.</v>
          </cell>
        </row>
        <row r="662">
          <cell r="A662">
            <v>781</v>
          </cell>
        </row>
        <row r="664">
          <cell r="A664" t="str">
            <v>1.</v>
          </cell>
        </row>
        <row r="668">
          <cell r="A668">
            <v>782</v>
          </cell>
        </row>
        <row r="670">
          <cell r="A670" t="str">
            <v>1.</v>
          </cell>
        </row>
        <row r="673">
          <cell r="A673" t="str">
            <v>2.</v>
          </cell>
        </row>
        <row r="676">
          <cell r="A676">
            <v>783</v>
          </cell>
        </row>
        <row r="678">
          <cell r="A678" t="str">
            <v>1.</v>
          </cell>
        </row>
        <row r="680">
          <cell r="A680" t="str">
            <v>2.</v>
          </cell>
        </row>
        <row r="682">
          <cell r="A682" t="str">
            <v>3.</v>
          </cell>
        </row>
        <row r="684">
          <cell r="A684">
            <v>784</v>
          </cell>
        </row>
        <row r="686">
          <cell r="A686" t="str">
            <v>1.</v>
          </cell>
        </row>
        <row r="692">
          <cell r="A692">
            <v>1</v>
          </cell>
        </row>
        <row r="693">
          <cell r="A693" t="str">
            <v>1.1.</v>
          </cell>
        </row>
        <row r="695">
          <cell r="A695" t="str">
            <v>1.2.</v>
          </cell>
        </row>
        <row r="697">
          <cell r="A697" t="str">
            <v>1.3.</v>
          </cell>
        </row>
        <row r="698">
          <cell r="A698" t="str">
            <v>1.4.</v>
          </cell>
        </row>
        <row r="699">
          <cell r="A699" t="str">
            <v>1.5.</v>
          </cell>
        </row>
        <row r="702">
          <cell r="A702">
            <v>2</v>
          </cell>
        </row>
        <row r="703">
          <cell r="A703" t="str">
            <v>2.1.</v>
          </cell>
        </row>
        <row r="707">
          <cell r="A707" t="str">
            <v>2.2.</v>
          </cell>
        </row>
        <row r="710">
          <cell r="A710" t="str">
            <v>2.3.</v>
          </cell>
        </row>
        <row r="712">
          <cell r="A712" t="str">
            <v>2.4.</v>
          </cell>
        </row>
        <row r="714">
          <cell r="A714" t="str">
            <v>Pozn.:</v>
          </cell>
        </row>
        <row r="718">
          <cell r="A718">
            <v>3</v>
          </cell>
        </row>
        <row r="719">
          <cell r="A719" t="str">
            <v>3.1.</v>
          </cell>
        </row>
        <row r="722">
          <cell r="A722" t="str">
            <v>3.2.</v>
          </cell>
        </row>
        <row r="724">
          <cell r="A724" t="str">
            <v>3.3.</v>
          </cell>
        </row>
        <row r="727">
          <cell r="A727">
            <v>4</v>
          </cell>
        </row>
        <row r="728">
          <cell r="A728" t="str">
            <v>4.1.</v>
          </cell>
        </row>
        <row r="732">
          <cell r="A732" t="str">
            <v>4.2.</v>
          </cell>
        </row>
        <row r="735">
          <cell r="A735">
            <v>5</v>
          </cell>
        </row>
        <row r="738">
          <cell r="A738">
            <v>6</v>
          </cell>
        </row>
        <row r="743">
          <cell r="A743">
            <v>7</v>
          </cell>
        </row>
        <row r="747">
          <cell r="A747">
            <v>8</v>
          </cell>
        </row>
        <row r="749">
          <cell r="A749" t="str">
            <v>8.1.</v>
          </cell>
        </row>
        <row r="750">
          <cell r="A750" t="str">
            <v>8.2.</v>
          </cell>
        </row>
        <row r="761">
          <cell r="A761">
            <v>10</v>
          </cell>
        </row>
        <row r="768">
          <cell r="A768" t="str">
            <v>Pozn.:</v>
          </cell>
        </row>
        <row r="772">
          <cell r="A772">
            <v>11</v>
          </cell>
        </row>
        <row r="773">
          <cell r="A773" t="str">
            <v>11.1.</v>
          </cell>
        </row>
        <row r="774">
          <cell r="A774" t="str">
            <v>11.2.</v>
          </cell>
        </row>
        <row r="779">
          <cell r="A779" t="str">
            <v>11.3.</v>
          </cell>
        </row>
        <row r="788">
          <cell r="A788">
            <v>1</v>
          </cell>
        </row>
        <row r="790">
          <cell r="A790" t="str">
            <v>1.</v>
          </cell>
        </row>
        <row r="791">
          <cell r="A791" t="str">
            <v>2.</v>
          </cell>
        </row>
        <row r="792">
          <cell r="A792" t="str">
            <v>3.</v>
          </cell>
        </row>
        <row r="793">
          <cell r="A793" t="str">
            <v>4.</v>
          </cell>
        </row>
        <row r="794">
          <cell r="A794" t="str">
            <v>5.</v>
          </cell>
        </row>
        <row r="796">
          <cell r="A796">
            <v>2</v>
          </cell>
        </row>
        <row r="798">
          <cell r="A798" t="str">
            <v>1.</v>
          </cell>
        </row>
        <row r="799">
          <cell r="A799" t="str">
            <v>2.</v>
          </cell>
        </row>
        <row r="800">
          <cell r="A800" t="str">
            <v>3.</v>
          </cell>
        </row>
        <row r="801">
          <cell r="A801" t="str">
            <v>4.</v>
          </cell>
        </row>
        <row r="802">
          <cell r="A802" t="str">
            <v>5.</v>
          </cell>
        </row>
        <row r="803">
          <cell r="A803" t="str">
            <v>6.</v>
          </cell>
        </row>
        <row r="805">
          <cell r="A805">
            <v>3</v>
          </cell>
        </row>
        <row r="807">
          <cell r="A807" t="str">
            <v>1.</v>
          </cell>
        </row>
        <row r="808">
          <cell r="A808" t="str">
            <v>2.</v>
          </cell>
        </row>
        <row r="810">
          <cell r="A810" t="str">
            <v>3.</v>
          </cell>
        </row>
        <row r="811">
          <cell r="A811" t="str">
            <v>4.</v>
          </cell>
        </row>
        <row r="812">
          <cell r="A812" t="str">
            <v>5.</v>
          </cell>
        </row>
        <row r="814">
          <cell r="A814" t="str">
            <v>6.</v>
          </cell>
        </row>
        <row r="815">
          <cell r="A815" t="str">
            <v>7.</v>
          </cell>
        </row>
        <row r="816">
          <cell r="A816" t="str">
            <v>8.</v>
          </cell>
        </row>
        <row r="818">
          <cell r="A818" t="str">
            <v>9.</v>
          </cell>
        </row>
        <row r="829">
          <cell r="A829" t="str">
            <v>1.</v>
          </cell>
        </row>
        <row r="845">
          <cell r="A845" t="str">
            <v>2.</v>
          </cell>
        </row>
        <row r="857">
          <cell r="A857" t="str">
            <v>3.</v>
          </cell>
        </row>
        <row r="865">
          <cell r="A865" t="str">
            <v>1.</v>
          </cell>
        </row>
        <row r="874">
          <cell r="A874" t="str">
            <v>2.</v>
          </cell>
        </row>
        <row r="879">
          <cell r="A879" t="str">
            <v>3.</v>
          </cell>
        </row>
        <row r="882">
          <cell r="A882" t="str">
            <v>4.</v>
          </cell>
        </row>
        <row r="894">
          <cell r="A894" t="str">
            <v>5.</v>
          </cell>
        </row>
        <row r="898">
          <cell r="A898" t="str">
            <v>1.</v>
          </cell>
        </row>
        <row r="907">
          <cell r="A907" t="str">
            <v>2.</v>
          </cell>
        </row>
        <row r="910">
          <cell r="A910" t="str">
            <v>3.</v>
          </cell>
        </row>
        <row r="912">
          <cell r="A912" t="str">
            <v>4.</v>
          </cell>
        </row>
        <row r="918">
          <cell r="A918" t="str">
            <v>1.</v>
          </cell>
        </row>
        <row r="919">
          <cell r="A919" t="str">
            <v>2.</v>
          </cell>
        </row>
        <row r="920">
          <cell r="A920" t="str">
            <v>3.</v>
          </cell>
        </row>
        <row r="921">
          <cell r="A921" t="str">
            <v>4.</v>
          </cell>
        </row>
        <row r="922">
          <cell r="A922" t="str">
            <v>5.</v>
          </cell>
        </row>
        <row r="923">
          <cell r="A923" t="str">
            <v>6.</v>
          </cell>
        </row>
        <row r="924">
          <cell r="A924" t="str">
            <v>7.</v>
          </cell>
        </row>
        <row r="925">
          <cell r="A925" t="str">
            <v>8.</v>
          </cell>
        </row>
        <row r="926">
          <cell r="A926" t="str">
            <v>9.</v>
          </cell>
        </row>
        <row r="927">
          <cell r="A927" t="str">
            <v>10.</v>
          </cell>
        </row>
        <row r="928">
          <cell r="A928" t="str">
            <v>11.</v>
          </cell>
        </row>
        <row r="929">
          <cell r="A929" t="str">
            <v>12.</v>
          </cell>
        </row>
        <row r="930">
          <cell r="A930" t="str">
            <v>13.</v>
          </cell>
        </row>
        <row r="931">
          <cell r="A931" t="str">
            <v>14.</v>
          </cell>
        </row>
        <row r="932">
          <cell r="A932" t="str">
            <v>15.</v>
          </cell>
        </row>
        <row r="933">
          <cell r="A933" t="str">
            <v>16.</v>
          </cell>
        </row>
        <row r="934">
          <cell r="A934" t="str">
            <v>17.</v>
          </cell>
        </row>
        <row r="937">
          <cell r="A937" t="str">
            <v>18.</v>
          </cell>
        </row>
        <row r="938">
          <cell r="A938" t="str">
            <v>19.</v>
          </cell>
        </row>
        <row r="939">
          <cell r="A939" t="str">
            <v>20.</v>
          </cell>
        </row>
        <row r="940">
          <cell r="A940" t="str">
            <v>21.</v>
          </cell>
        </row>
        <row r="941">
          <cell r="A941" t="str">
            <v>22.</v>
          </cell>
        </row>
        <row r="942">
          <cell r="A942" t="str">
            <v>23.</v>
          </cell>
        </row>
        <row r="943">
          <cell r="A943" t="str">
            <v>24.</v>
          </cell>
        </row>
        <row r="944">
          <cell r="A944" t="str">
            <v>25.</v>
          </cell>
        </row>
        <row r="945">
          <cell r="A945" t="str">
            <v>26.</v>
          </cell>
        </row>
        <row r="952">
          <cell r="A952">
            <v>1</v>
          </cell>
        </row>
        <row r="956">
          <cell r="A956">
            <v>2</v>
          </cell>
        </row>
        <row r="960">
          <cell r="A960">
            <v>3</v>
          </cell>
        </row>
        <row r="964">
          <cell r="A964">
            <v>4</v>
          </cell>
        </row>
        <row r="968">
          <cell r="A968">
            <v>5</v>
          </cell>
        </row>
        <row r="972">
          <cell r="A972">
            <v>6</v>
          </cell>
        </row>
        <row r="976">
          <cell r="A976">
            <v>7</v>
          </cell>
        </row>
        <row r="980">
          <cell r="A980">
            <v>8</v>
          </cell>
        </row>
        <row r="984">
          <cell r="A984">
            <v>9</v>
          </cell>
        </row>
        <row r="988">
          <cell r="A988">
            <v>10</v>
          </cell>
        </row>
        <row r="992">
          <cell r="A992">
            <v>11</v>
          </cell>
        </row>
        <row r="996">
          <cell r="A996">
            <v>12</v>
          </cell>
        </row>
        <row r="1000">
          <cell r="A1000">
            <v>13</v>
          </cell>
        </row>
        <row r="1004">
          <cell r="A1004">
            <v>14</v>
          </cell>
        </row>
        <row r="1008">
          <cell r="A1008">
            <v>15</v>
          </cell>
        </row>
        <row r="1013">
          <cell r="A1013">
            <v>16</v>
          </cell>
        </row>
        <row r="1017">
          <cell r="A1017">
            <v>17</v>
          </cell>
        </row>
        <row r="1023">
          <cell r="A1023">
            <v>18</v>
          </cell>
        </row>
        <row r="1024">
          <cell r="A1024">
            <v>19</v>
          </cell>
        </row>
        <row r="1025">
          <cell r="A1025">
            <v>20</v>
          </cell>
        </row>
        <row r="1026">
          <cell r="A1026">
            <v>21</v>
          </cell>
        </row>
        <row r="1027">
          <cell r="A1027">
            <v>22</v>
          </cell>
        </row>
        <row r="1028">
          <cell r="A1028">
            <v>23</v>
          </cell>
        </row>
        <row r="1029">
          <cell r="A1029">
            <v>24</v>
          </cell>
        </row>
        <row r="1030">
          <cell r="A1030">
            <v>25</v>
          </cell>
        </row>
        <row r="1031">
          <cell r="A1031">
            <v>26</v>
          </cell>
        </row>
        <row r="1032">
          <cell r="A1032">
            <v>27</v>
          </cell>
        </row>
        <row r="1033">
          <cell r="A1033">
            <v>28</v>
          </cell>
        </row>
        <row r="1034">
          <cell r="A1034" t="str">
            <v> </v>
          </cell>
        </row>
        <row r="1038">
          <cell r="A1038">
            <v>29</v>
          </cell>
        </row>
        <row r="1039">
          <cell r="A1039">
            <v>30</v>
          </cell>
        </row>
        <row r="1040">
          <cell r="A1040">
            <v>31</v>
          </cell>
        </row>
        <row r="1041">
          <cell r="A1041">
            <v>32</v>
          </cell>
        </row>
        <row r="1046">
          <cell r="A1046">
            <v>33</v>
          </cell>
        </row>
        <row r="1047">
          <cell r="A1047">
            <v>34</v>
          </cell>
        </row>
        <row r="1048">
          <cell r="A1048">
            <v>35</v>
          </cell>
        </row>
        <row r="1049">
          <cell r="A1049">
            <v>36</v>
          </cell>
        </row>
        <row r="1054">
          <cell r="A1054">
            <v>37</v>
          </cell>
        </row>
        <row r="1055">
          <cell r="A1055">
            <v>38</v>
          </cell>
        </row>
        <row r="1056">
          <cell r="A1056">
            <v>39</v>
          </cell>
        </row>
        <row r="1057">
          <cell r="A1057">
            <v>40</v>
          </cell>
        </row>
        <row r="1058">
          <cell r="A1058">
            <v>41</v>
          </cell>
        </row>
        <row r="1062">
          <cell r="A1062">
            <v>42</v>
          </cell>
        </row>
        <row r="1063">
          <cell r="A1063">
            <v>43</v>
          </cell>
        </row>
        <row r="1064">
          <cell r="A1064">
            <v>44</v>
          </cell>
        </row>
        <row r="1065">
          <cell r="A1065">
            <v>45</v>
          </cell>
        </row>
        <row r="1066">
          <cell r="A1066">
            <v>46</v>
          </cell>
        </row>
        <row r="1067">
          <cell r="A1067">
            <v>47</v>
          </cell>
        </row>
        <row r="1068">
          <cell r="A1068">
            <v>48</v>
          </cell>
        </row>
        <row r="1069">
          <cell r="A1069">
            <v>49</v>
          </cell>
        </row>
        <row r="1070">
          <cell r="A1070">
            <v>50</v>
          </cell>
        </row>
        <row r="1071">
          <cell r="A1071">
            <v>51</v>
          </cell>
        </row>
        <row r="1072">
          <cell r="A1072">
            <v>52</v>
          </cell>
        </row>
        <row r="1073">
          <cell r="A1073">
            <v>53</v>
          </cell>
        </row>
        <row r="1074">
          <cell r="A1074">
            <v>54</v>
          </cell>
        </row>
        <row r="1075">
          <cell r="A1075">
            <v>55</v>
          </cell>
        </row>
        <row r="1076">
          <cell r="A1076">
            <v>56</v>
          </cell>
        </row>
        <row r="1077">
          <cell r="A1077">
            <v>57</v>
          </cell>
        </row>
        <row r="1078">
          <cell r="A1078">
            <v>58</v>
          </cell>
        </row>
        <row r="1079">
          <cell r="A1079">
            <v>59</v>
          </cell>
        </row>
        <row r="1080">
          <cell r="A1080">
            <v>60</v>
          </cell>
        </row>
        <row r="1081">
          <cell r="A1081">
            <v>61</v>
          </cell>
        </row>
        <row r="1082">
          <cell r="A1082">
            <v>62</v>
          </cell>
        </row>
        <row r="1083">
          <cell r="A1083">
            <v>63</v>
          </cell>
        </row>
        <row r="1087">
          <cell r="A1087">
            <v>64</v>
          </cell>
        </row>
        <row r="1088">
          <cell r="A1088">
            <v>65</v>
          </cell>
        </row>
        <row r="1089">
          <cell r="A1089">
            <v>66</v>
          </cell>
        </row>
        <row r="1090">
          <cell r="A1090">
            <v>67</v>
          </cell>
        </row>
        <row r="1091">
          <cell r="A1091">
            <v>68</v>
          </cell>
        </row>
        <row r="1092">
          <cell r="A1092">
            <v>69</v>
          </cell>
        </row>
        <row r="1093">
          <cell r="A1093">
            <v>70</v>
          </cell>
        </row>
        <row r="1094">
          <cell r="A1094">
            <v>71</v>
          </cell>
        </row>
        <row r="1095">
          <cell r="A1095">
            <v>72</v>
          </cell>
        </row>
        <row r="1099">
          <cell r="A1099">
            <v>73</v>
          </cell>
        </row>
        <row r="1100">
          <cell r="A1100">
            <v>74</v>
          </cell>
        </row>
        <row r="1101">
          <cell r="A1101">
            <v>75</v>
          </cell>
        </row>
        <row r="1102">
          <cell r="A1102">
            <v>76</v>
          </cell>
        </row>
        <row r="1103">
          <cell r="A1103">
            <v>77</v>
          </cell>
        </row>
        <row r="1104">
          <cell r="A1104">
            <v>78</v>
          </cell>
        </row>
        <row r="1105">
          <cell r="A1105">
            <v>79</v>
          </cell>
        </row>
        <row r="1106">
          <cell r="A1106">
            <v>80</v>
          </cell>
        </row>
        <row r="1107">
          <cell r="A1107">
            <v>81</v>
          </cell>
        </row>
        <row r="1108">
          <cell r="A1108">
            <v>82</v>
          </cell>
        </row>
        <row r="1112">
          <cell r="A1112">
            <v>83</v>
          </cell>
        </row>
        <row r="1113">
          <cell r="A1113">
            <v>84</v>
          </cell>
        </row>
        <row r="1114">
          <cell r="A1114">
            <v>85</v>
          </cell>
        </row>
        <row r="1115">
          <cell r="A1115">
            <v>86</v>
          </cell>
        </row>
        <row r="1116">
          <cell r="A1116">
            <v>87</v>
          </cell>
        </row>
        <row r="1117">
          <cell r="A1117">
            <v>88</v>
          </cell>
        </row>
        <row r="1118">
          <cell r="A1118">
            <v>89</v>
          </cell>
        </row>
        <row r="1119">
          <cell r="A1119">
            <v>90</v>
          </cell>
        </row>
        <row r="1120">
          <cell r="A1120">
            <v>91</v>
          </cell>
        </row>
        <row r="1121">
          <cell r="A1121">
            <v>92</v>
          </cell>
        </row>
        <row r="1122">
          <cell r="A1122">
            <v>93</v>
          </cell>
        </row>
        <row r="1123">
          <cell r="A1123">
            <v>94</v>
          </cell>
        </row>
        <row r="1124">
          <cell r="A1124">
            <v>95</v>
          </cell>
        </row>
        <row r="1125">
          <cell r="A1125">
            <v>96</v>
          </cell>
        </row>
        <row r="1126">
          <cell r="A1126">
            <v>97</v>
          </cell>
        </row>
        <row r="1127">
          <cell r="A1127">
            <v>98</v>
          </cell>
        </row>
        <row r="1128">
          <cell r="A1128">
            <v>99</v>
          </cell>
        </row>
        <row r="1129">
          <cell r="A1129">
            <v>100</v>
          </cell>
        </row>
        <row r="1130">
          <cell r="A1130">
            <v>101</v>
          </cell>
        </row>
        <row r="1131">
          <cell r="A1131">
            <v>102</v>
          </cell>
        </row>
        <row r="1132">
          <cell r="A1132">
            <v>103</v>
          </cell>
        </row>
        <row r="1133">
          <cell r="A1133">
            <v>104</v>
          </cell>
        </row>
        <row r="1134">
          <cell r="A1134">
            <v>105</v>
          </cell>
        </row>
        <row r="1135">
          <cell r="A1135">
            <v>106</v>
          </cell>
        </row>
        <row r="1136">
          <cell r="A1136">
            <v>107</v>
          </cell>
        </row>
        <row r="1137">
          <cell r="A1137">
            <v>108</v>
          </cell>
        </row>
        <row r="1138">
          <cell r="A1138">
            <v>109</v>
          </cell>
        </row>
        <row r="1139">
          <cell r="A1139">
            <v>110</v>
          </cell>
        </row>
        <row r="1140">
          <cell r="A1140" t="str">
            <v> </v>
          </cell>
        </row>
        <row r="1143">
          <cell r="A1143">
            <v>111</v>
          </cell>
        </row>
        <row r="1144">
          <cell r="A1144">
            <v>112</v>
          </cell>
        </row>
        <row r="1145">
          <cell r="A1145">
            <v>113</v>
          </cell>
        </row>
        <row r="1146">
          <cell r="A1146">
            <v>114</v>
          </cell>
        </row>
        <row r="1147">
          <cell r="A1147">
            <v>115</v>
          </cell>
        </row>
        <row r="1148">
          <cell r="A1148">
            <v>116</v>
          </cell>
        </row>
        <row r="1149">
          <cell r="A1149">
            <v>117</v>
          </cell>
        </row>
        <row r="1150">
          <cell r="A1150">
            <v>118</v>
          </cell>
        </row>
        <row r="1151">
          <cell r="A1151">
            <v>119</v>
          </cell>
        </row>
        <row r="1157">
          <cell r="A1157">
            <v>120</v>
          </cell>
        </row>
        <row r="1158">
          <cell r="A1158" t="str">
            <v> </v>
          </cell>
        </row>
        <row r="1193">
          <cell r="A1193">
            <v>121</v>
          </cell>
        </row>
        <row r="1194">
          <cell r="A1194" t="str">
            <v> </v>
          </cell>
        </row>
        <row r="1220">
          <cell r="A1220">
            <v>122</v>
          </cell>
        </row>
        <row r="1221">
          <cell r="A1221" t="str">
            <v> </v>
          </cell>
        </row>
        <row r="1244">
          <cell r="A1244">
            <v>123</v>
          </cell>
        </row>
        <row r="1245">
          <cell r="A1245" t="str">
            <v> </v>
          </cell>
        </row>
        <row r="1266">
          <cell r="A1266">
            <v>124</v>
          </cell>
        </row>
        <row r="1267">
          <cell r="A1267" t="str">
            <v> </v>
          </cell>
        </row>
        <row r="1288">
          <cell r="A1288">
            <v>125</v>
          </cell>
        </row>
        <row r="1289">
          <cell r="A1289" t="str">
            <v> </v>
          </cell>
        </row>
        <row r="1313">
          <cell r="A1313">
            <v>126</v>
          </cell>
        </row>
        <row r="1314">
          <cell r="A1314" t="str">
            <v> </v>
          </cell>
        </row>
        <row r="1338">
          <cell r="A1338">
            <v>127</v>
          </cell>
        </row>
        <row r="1369">
          <cell r="A1369">
            <v>128</v>
          </cell>
        </row>
        <row r="1380">
          <cell r="A1380">
            <v>129</v>
          </cell>
        </row>
        <row r="1388">
          <cell r="A1388">
            <v>130</v>
          </cell>
        </row>
        <row r="1401">
          <cell r="A1401" t="str">
            <v>1.</v>
          </cell>
        </row>
        <row r="1404">
          <cell r="A1404" t="str">
            <v>2.</v>
          </cell>
        </row>
        <row r="1406">
          <cell r="A1406" t="str">
            <v>3.</v>
          </cell>
        </row>
        <row r="1407">
          <cell r="A1407" t="str">
            <v>4.</v>
          </cell>
        </row>
        <row r="1408">
          <cell r="A1408" t="str">
            <v>5.</v>
          </cell>
        </row>
        <row r="1409">
          <cell r="A1409" t="str">
            <v>6.</v>
          </cell>
        </row>
        <row r="1410">
          <cell r="A1410" t="str">
            <v>7.</v>
          </cell>
        </row>
        <row r="1411">
          <cell r="A1411" t="str">
            <v>8.</v>
          </cell>
        </row>
        <row r="1412">
          <cell r="A1412" t="str">
            <v>9.</v>
          </cell>
        </row>
        <row r="1413">
          <cell r="A1413" t="str">
            <v>10.</v>
          </cell>
        </row>
        <row r="1414">
          <cell r="A1414" t="str">
            <v>11.</v>
          </cell>
        </row>
        <row r="1415">
          <cell r="A1415" t="str">
            <v>12.</v>
          </cell>
        </row>
        <row r="1416">
          <cell r="A1416" t="str">
            <v>13.</v>
          </cell>
        </row>
        <row r="1417">
          <cell r="A1417" t="str">
            <v>14.</v>
          </cell>
        </row>
        <row r="1418">
          <cell r="A1418" t="str">
            <v>15.</v>
          </cell>
        </row>
        <row r="1419">
          <cell r="A1419" t="str">
            <v>16.</v>
          </cell>
        </row>
        <row r="1420">
          <cell r="A1420" t="str">
            <v>17.</v>
          </cell>
        </row>
        <row r="1422">
          <cell r="A1422" t="str">
            <v>18.</v>
          </cell>
        </row>
        <row r="1424">
          <cell r="A1424" t="str">
            <v>19.</v>
          </cell>
        </row>
        <row r="1425">
          <cell r="A1425" t="str">
            <v>20.</v>
          </cell>
        </row>
        <row r="1426">
          <cell r="A1426" t="str">
            <v>21.</v>
          </cell>
        </row>
        <row r="1427">
          <cell r="A1427" t="str">
            <v>22.</v>
          </cell>
        </row>
        <row r="1428">
          <cell r="A1428" t="str">
            <v>23.</v>
          </cell>
        </row>
        <row r="1429">
          <cell r="A1429" t="str">
            <v>24.</v>
          </cell>
        </row>
        <row r="1430">
          <cell r="A1430" t="str">
            <v>25.</v>
          </cell>
        </row>
        <row r="1431">
          <cell r="A1431" t="str">
            <v>26.</v>
          </cell>
        </row>
        <row r="1432">
          <cell r="A1432" t="str">
            <v>27.</v>
          </cell>
        </row>
        <row r="1433">
          <cell r="A1433" t="str">
            <v>28.</v>
          </cell>
        </row>
        <row r="1434">
          <cell r="A1434" t="str">
            <v>29.</v>
          </cell>
        </row>
        <row r="1435">
          <cell r="A1435" t="str">
            <v>30.</v>
          </cell>
        </row>
        <row r="1436">
          <cell r="A1436" t="str">
            <v>31.</v>
          </cell>
        </row>
        <row r="1440">
          <cell r="A1440" t="str">
            <v>32.</v>
          </cell>
        </row>
        <row r="1442">
          <cell r="A1442" t="str">
            <v>33.</v>
          </cell>
        </row>
        <row r="1443">
          <cell r="A1443" t="str">
            <v>34.</v>
          </cell>
        </row>
        <row r="1444">
          <cell r="A1444" t="str">
            <v>35.</v>
          </cell>
        </row>
        <row r="1445">
          <cell r="A1445" t="str">
            <v>36.</v>
          </cell>
        </row>
        <row r="1446">
          <cell r="A1446" t="str">
            <v>37.</v>
          </cell>
        </row>
        <row r="1447">
          <cell r="A1447" t="str">
            <v>38.</v>
          </cell>
        </row>
        <row r="1448">
          <cell r="A1448" t="str">
            <v>39.</v>
          </cell>
        </row>
        <row r="1449">
          <cell r="A1449" t="str">
            <v>40.</v>
          </cell>
        </row>
        <row r="1450">
          <cell r="A1450" t="str">
            <v>41.</v>
          </cell>
        </row>
        <row r="1451">
          <cell r="A1451" t="str">
            <v>42.</v>
          </cell>
        </row>
        <row r="1452">
          <cell r="A1452" t="str">
            <v>43.</v>
          </cell>
        </row>
        <row r="1453">
          <cell r="A1453" t="str">
            <v>44.</v>
          </cell>
        </row>
        <row r="1457">
          <cell r="A1457" t="str">
            <v>1.</v>
          </cell>
        </row>
        <row r="1459">
          <cell r="A1459" t="str">
            <v>2.</v>
          </cell>
        </row>
        <row r="1461">
          <cell r="A1461" t="str">
            <v>3.</v>
          </cell>
        </row>
        <row r="1462">
          <cell r="A1462" t="str">
            <v>4.</v>
          </cell>
        </row>
        <row r="1463">
          <cell r="A1463" t="str">
            <v>5.</v>
          </cell>
        </row>
        <row r="1464">
          <cell r="A1464" t="str">
            <v>6.</v>
          </cell>
        </row>
        <row r="1465">
          <cell r="A1465" t="str">
            <v>7.</v>
          </cell>
        </row>
        <row r="1466">
          <cell r="A1466" t="str">
            <v>8.</v>
          </cell>
        </row>
        <row r="1467">
          <cell r="A1467" t="str">
            <v>9.</v>
          </cell>
        </row>
        <row r="1468">
          <cell r="A1468" t="str">
            <v>10.</v>
          </cell>
        </row>
        <row r="1470">
          <cell r="A1470" t="str">
            <v>11.</v>
          </cell>
        </row>
        <row r="1473">
          <cell r="A1473" t="str">
            <v>12.</v>
          </cell>
        </row>
        <row r="1475">
          <cell r="A1475" t="str">
            <v>13.</v>
          </cell>
        </row>
        <row r="1476">
          <cell r="A1476" t="str">
            <v>14.</v>
          </cell>
        </row>
        <row r="1477">
          <cell r="A1477" t="str">
            <v>15.</v>
          </cell>
        </row>
        <row r="1478">
          <cell r="A1478" t="str">
            <v>16.</v>
          </cell>
        </row>
        <row r="1479">
          <cell r="A1479" t="str">
            <v>17.</v>
          </cell>
        </row>
        <row r="1480">
          <cell r="A1480" t="str">
            <v>18.</v>
          </cell>
        </row>
        <row r="1481">
          <cell r="A1481" t="str">
            <v>19.</v>
          </cell>
        </row>
        <row r="1484">
          <cell r="A1484" t="str">
            <v>20.</v>
          </cell>
        </row>
        <row r="1487">
          <cell r="A1487" t="str">
            <v>21.</v>
          </cell>
        </row>
        <row r="1490">
          <cell r="A1490" t="str">
            <v>22.</v>
          </cell>
        </row>
        <row r="1493">
          <cell r="A1493" t="str">
            <v>23.</v>
          </cell>
        </row>
        <row r="1494">
          <cell r="A1494" t="str">
            <v>24.</v>
          </cell>
        </row>
        <row r="1495">
          <cell r="A1495" t="str">
            <v>25.</v>
          </cell>
        </row>
        <row r="1496">
          <cell r="A1496" t="str">
            <v>26.</v>
          </cell>
        </row>
        <row r="1497">
          <cell r="A1497" t="str">
            <v>27.</v>
          </cell>
        </row>
        <row r="1498">
          <cell r="A1498" t="str">
            <v>28.</v>
          </cell>
        </row>
        <row r="1499">
          <cell r="A1499" t="str">
            <v>29.</v>
          </cell>
        </row>
        <row r="1500">
          <cell r="A1500" t="str">
            <v>30.</v>
          </cell>
        </row>
        <row r="1501">
          <cell r="A1501" t="str">
            <v>31.</v>
          </cell>
        </row>
        <row r="1502">
          <cell r="A1502" t="str">
            <v>32.</v>
          </cell>
        </row>
        <row r="1503">
          <cell r="A1503" t="str">
            <v>33.</v>
          </cell>
        </row>
        <row r="1509">
          <cell r="A1509" t="str">
            <v>1.</v>
          </cell>
        </row>
        <row r="1521">
          <cell r="A1521" t="str">
            <v>2.</v>
          </cell>
        </row>
        <row r="1535">
          <cell r="A1535" t="str">
            <v>3.</v>
          </cell>
        </row>
        <row r="1542">
          <cell r="A1542" t="str">
            <v>4.</v>
          </cell>
        </row>
        <row r="1554">
          <cell r="A1554" t="str">
            <v>5.</v>
          </cell>
        </row>
        <row r="1562">
          <cell r="A1562" t="str">
            <v>6.</v>
          </cell>
        </row>
        <row r="1569">
          <cell r="A1569" t="str">
            <v>7.</v>
          </cell>
        </row>
        <row r="1575">
          <cell r="A1575" t="str">
            <v>8.</v>
          </cell>
        </row>
        <row r="1581">
          <cell r="A1581" t="str">
            <v>9.</v>
          </cell>
        </row>
        <row r="1588">
          <cell r="A1588" t="str">
            <v>10.</v>
          </cell>
        </row>
        <row r="1594">
          <cell r="A1594" t="str">
            <v>11.</v>
          </cell>
        </row>
        <row r="1599">
          <cell r="A1599" t="str">
            <v>12.</v>
          </cell>
        </row>
        <row r="1603">
          <cell r="A1603">
            <v>13</v>
          </cell>
        </row>
        <row r="1608">
          <cell r="A1608" t="str">
            <v>14.</v>
          </cell>
        </row>
        <row r="1612">
          <cell r="A1612" t="str">
            <v>15.</v>
          </cell>
        </row>
        <row r="1618">
          <cell r="A1618" t="str">
            <v>16.</v>
          </cell>
        </row>
        <row r="1621">
          <cell r="A1621" t="str">
            <v>17.</v>
          </cell>
        </row>
        <row r="1624">
          <cell r="A1624" t="str">
            <v>18.</v>
          </cell>
        </row>
        <row r="1629">
          <cell r="A1629" t="str">
            <v>19.</v>
          </cell>
        </row>
        <row r="1634">
          <cell r="A1634" t="str">
            <v>20.</v>
          </cell>
        </row>
        <row r="1639">
          <cell r="A1639" t="str">
            <v>21.</v>
          </cell>
        </row>
        <row r="1642">
          <cell r="A1642" t="str">
            <v>22.</v>
          </cell>
        </row>
        <row r="1645">
          <cell r="A1645" t="str">
            <v>23.</v>
          </cell>
        </row>
        <row r="1649">
          <cell r="A1649" t="str">
            <v>24.</v>
          </cell>
        </row>
        <row r="1652">
          <cell r="A1652" t="str">
            <v>25.</v>
          </cell>
        </row>
        <row r="1655">
          <cell r="A1655" t="str">
            <v>26.</v>
          </cell>
        </row>
        <row r="1658">
          <cell r="A1658" t="str">
            <v>27.</v>
          </cell>
        </row>
        <row r="1661">
          <cell r="A1661" t="str">
            <v>28.</v>
          </cell>
        </row>
        <row r="1665">
          <cell r="A1665" t="str">
            <v>29.</v>
          </cell>
        </row>
        <row r="1669">
          <cell r="A1669" t="str">
            <v>30.</v>
          </cell>
        </row>
        <row r="1673">
          <cell r="A1673" t="str">
            <v>31.</v>
          </cell>
        </row>
        <row r="1678">
          <cell r="A1678" t="str">
            <v>32.</v>
          </cell>
        </row>
        <row r="1683">
          <cell r="A1683" t="str">
            <v>33.</v>
          </cell>
        </row>
        <row r="1687">
          <cell r="A1687" t="str">
            <v>34.</v>
          </cell>
        </row>
        <row r="1691">
          <cell r="A1691" t="str">
            <v>35.</v>
          </cell>
        </row>
        <row r="1698">
          <cell r="A1698">
            <v>1</v>
          </cell>
        </row>
        <row r="1699">
          <cell r="A1699">
            <v>2</v>
          </cell>
        </row>
        <row r="1700">
          <cell r="A1700">
            <v>3</v>
          </cell>
        </row>
        <row r="1701">
          <cell r="A1701">
            <v>4</v>
          </cell>
        </row>
        <row r="1702">
          <cell r="A1702">
            <v>5</v>
          </cell>
        </row>
        <row r="1703">
          <cell r="A1703">
            <v>6</v>
          </cell>
        </row>
        <row r="1704">
          <cell r="A1704">
            <v>7</v>
          </cell>
        </row>
        <row r="1705">
          <cell r="A1705">
            <v>8</v>
          </cell>
        </row>
        <row r="1706">
          <cell r="A1706">
            <v>9</v>
          </cell>
        </row>
        <row r="1707">
          <cell r="A1707">
            <v>10</v>
          </cell>
        </row>
        <row r="1708">
          <cell r="A1708">
            <v>11</v>
          </cell>
        </row>
        <row r="1709">
          <cell r="A1709">
            <v>12</v>
          </cell>
        </row>
        <row r="1710">
          <cell r="A1710">
            <v>13</v>
          </cell>
        </row>
        <row r="1711">
          <cell r="A1711">
            <v>14</v>
          </cell>
        </row>
        <row r="1712">
          <cell r="A1712">
            <v>15</v>
          </cell>
        </row>
        <row r="1713">
          <cell r="A1713">
            <v>16</v>
          </cell>
        </row>
        <row r="1714">
          <cell r="A1714">
            <v>17</v>
          </cell>
        </row>
        <row r="1715">
          <cell r="A1715">
            <v>18</v>
          </cell>
        </row>
        <row r="1716">
          <cell r="A1716">
            <v>19</v>
          </cell>
        </row>
        <row r="1720">
          <cell r="A1720">
            <v>1</v>
          </cell>
        </row>
        <row r="1721">
          <cell r="A1721">
            <v>2</v>
          </cell>
        </row>
        <row r="1722">
          <cell r="A1722">
            <v>3</v>
          </cell>
        </row>
        <row r="1723">
          <cell r="A1723">
            <v>4</v>
          </cell>
        </row>
        <row r="1724">
          <cell r="A1724">
            <v>5</v>
          </cell>
        </row>
        <row r="1725">
          <cell r="A1725">
            <v>6</v>
          </cell>
        </row>
        <row r="1726">
          <cell r="A1726">
            <v>7</v>
          </cell>
        </row>
        <row r="1727">
          <cell r="A1727">
            <v>8</v>
          </cell>
        </row>
        <row r="1728">
          <cell r="A1728">
            <v>9</v>
          </cell>
        </row>
        <row r="1729">
          <cell r="A1729">
            <v>10</v>
          </cell>
        </row>
        <row r="1730">
          <cell r="A1730">
            <v>11</v>
          </cell>
        </row>
        <row r="1731">
          <cell r="A1731">
            <v>12</v>
          </cell>
        </row>
        <row r="1732">
          <cell r="A1732">
            <v>13</v>
          </cell>
        </row>
        <row r="1733">
          <cell r="A1733">
            <v>14</v>
          </cell>
        </row>
        <row r="1734">
          <cell r="A1734">
            <v>15</v>
          </cell>
        </row>
        <row r="1735">
          <cell r="A1735">
            <v>16</v>
          </cell>
        </row>
        <row r="1736">
          <cell r="A1736">
            <v>17</v>
          </cell>
        </row>
        <row r="1737">
          <cell r="A1737">
            <v>18</v>
          </cell>
        </row>
        <row r="1738">
          <cell r="A1738">
            <v>19</v>
          </cell>
        </row>
        <row r="1739">
          <cell r="A1739">
            <v>20</v>
          </cell>
        </row>
        <row r="1740">
          <cell r="A1740">
            <v>21</v>
          </cell>
        </row>
        <row r="1741">
          <cell r="A1741">
            <v>22</v>
          </cell>
        </row>
        <row r="1742">
          <cell r="A1742">
            <v>23</v>
          </cell>
        </row>
        <row r="1743">
          <cell r="A1743">
            <v>24</v>
          </cell>
        </row>
        <row r="1744">
          <cell r="A1744">
            <v>25</v>
          </cell>
        </row>
        <row r="1745">
          <cell r="A1745">
            <v>26</v>
          </cell>
        </row>
        <row r="1746">
          <cell r="A1746">
            <v>27</v>
          </cell>
        </row>
        <row r="1747">
          <cell r="A1747">
            <v>28</v>
          </cell>
        </row>
        <row r="1748">
          <cell r="A1748">
            <v>29</v>
          </cell>
        </row>
        <row r="1749">
          <cell r="A1749">
            <v>30</v>
          </cell>
        </row>
        <row r="1754">
          <cell r="A1754">
            <v>31</v>
          </cell>
        </row>
        <row r="1760">
          <cell r="A1760">
            <v>32</v>
          </cell>
        </row>
        <row r="1763">
          <cell r="A1763">
            <v>33</v>
          </cell>
        </row>
        <row r="1765">
          <cell r="A1765">
            <v>34</v>
          </cell>
        </row>
        <row r="1769">
          <cell r="A1769">
            <v>1</v>
          </cell>
        </row>
        <row r="1770">
          <cell r="A1770">
            <v>2</v>
          </cell>
        </row>
        <row r="1771">
          <cell r="A1771">
            <v>3</v>
          </cell>
        </row>
        <row r="1772">
          <cell r="A1772">
            <v>4</v>
          </cell>
        </row>
        <row r="1773">
          <cell r="A1773">
            <v>5</v>
          </cell>
        </row>
        <row r="1774">
          <cell r="A1774">
            <v>6</v>
          </cell>
        </row>
        <row r="1775">
          <cell r="A1775">
            <v>7</v>
          </cell>
        </row>
        <row r="1776">
          <cell r="A1776">
            <v>8</v>
          </cell>
        </row>
        <row r="1777">
          <cell r="A1777">
            <v>9</v>
          </cell>
        </row>
        <row r="1778">
          <cell r="A1778">
            <v>10</v>
          </cell>
        </row>
        <row r="1779">
          <cell r="A1779">
            <v>11</v>
          </cell>
        </row>
        <row r="1780">
          <cell r="A1780">
            <v>12</v>
          </cell>
        </row>
        <row r="1781">
          <cell r="A1781">
            <v>13</v>
          </cell>
        </row>
        <row r="1782">
          <cell r="A1782">
            <v>14</v>
          </cell>
        </row>
        <row r="1783">
          <cell r="A1783">
            <v>15</v>
          </cell>
        </row>
        <row r="1784">
          <cell r="A1784">
            <v>16</v>
          </cell>
        </row>
        <row r="1785">
          <cell r="A1785">
            <v>17</v>
          </cell>
        </row>
        <row r="1789">
          <cell r="A1789">
            <v>1</v>
          </cell>
        </row>
        <row r="1790">
          <cell r="A1790">
            <v>2</v>
          </cell>
        </row>
        <row r="1791">
          <cell r="A1791">
            <v>3</v>
          </cell>
        </row>
        <row r="1792">
          <cell r="A1792">
            <v>4</v>
          </cell>
        </row>
        <row r="1793">
          <cell r="A1793">
            <v>5</v>
          </cell>
        </row>
        <row r="1794">
          <cell r="A1794">
            <v>6</v>
          </cell>
        </row>
        <row r="1795">
          <cell r="A1795">
            <v>7</v>
          </cell>
        </row>
        <row r="1796">
          <cell r="A1796">
            <v>8</v>
          </cell>
        </row>
        <row r="1797">
          <cell r="A1797">
            <v>9</v>
          </cell>
        </row>
        <row r="1798">
          <cell r="A1798">
            <v>10</v>
          </cell>
        </row>
        <row r="1799">
          <cell r="A1799">
            <v>11</v>
          </cell>
        </row>
        <row r="1800">
          <cell r="A1800">
            <v>12</v>
          </cell>
        </row>
        <row r="1801">
          <cell r="A1801">
            <v>13</v>
          </cell>
        </row>
        <row r="1802">
          <cell r="A1802">
            <v>14</v>
          </cell>
        </row>
        <row r="1803">
          <cell r="A1803">
            <v>15</v>
          </cell>
        </row>
        <row r="1804">
          <cell r="A1804">
            <v>16</v>
          </cell>
        </row>
        <row r="1805">
          <cell r="A1805">
            <v>17</v>
          </cell>
        </row>
        <row r="1806">
          <cell r="A1806">
            <v>18</v>
          </cell>
        </row>
        <row r="1807">
          <cell r="A1807">
            <v>19</v>
          </cell>
        </row>
        <row r="1808">
          <cell r="A1808">
            <v>20</v>
          </cell>
        </row>
        <row r="1809">
          <cell r="A1809">
            <v>21</v>
          </cell>
        </row>
        <row r="1810">
          <cell r="A1810">
            <v>22</v>
          </cell>
        </row>
        <row r="1816">
          <cell r="A1816">
            <v>1</v>
          </cell>
        </row>
        <row r="1817">
          <cell r="A1817">
            <v>2</v>
          </cell>
        </row>
        <row r="1818">
          <cell r="A1818">
            <v>3</v>
          </cell>
        </row>
        <row r="1819">
          <cell r="A1819">
            <v>4</v>
          </cell>
        </row>
        <row r="1820">
          <cell r="A1820">
            <v>5</v>
          </cell>
        </row>
        <row r="1821">
          <cell r="A1821">
            <v>6</v>
          </cell>
        </row>
        <row r="1822">
          <cell r="A1822">
            <v>7</v>
          </cell>
        </row>
        <row r="1823">
          <cell r="A1823">
            <v>8</v>
          </cell>
        </row>
        <row r="1824">
          <cell r="A1824">
            <v>9</v>
          </cell>
        </row>
        <row r="1825">
          <cell r="A1825">
            <v>10</v>
          </cell>
        </row>
        <row r="1826">
          <cell r="A1826">
            <v>11</v>
          </cell>
        </row>
        <row r="1827">
          <cell r="A1827">
            <v>12</v>
          </cell>
        </row>
        <row r="1828">
          <cell r="A1828">
            <v>13</v>
          </cell>
        </row>
        <row r="1829">
          <cell r="A1829">
            <v>14</v>
          </cell>
        </row>
        <row r="1830">
          <cell r="A1830">
            <v>15</v>
          </cell>
        </row>
        <row r="1831">
          <cell r="A1831">
            <v>16</v>
          </cell>
        </row>
        <row r="1832">
          <cell r="A1832">
            <v>17</v>
          </cell>
        </row>
        <row r="1833">
          <cell r="A1833">
            <v>18</v>
          </cell>
        </row>
        <row r="1834">
          <cell r="A1834">
            <v>19</v>
          </cell>
        </row>
        <row r="1835">
          <cell r="A1835">
            <v>20</v>
          </cell>
        </row>
        <row r="1836">
          <cell r="A1836">
            <v>21</v>
          </cell>
        </row>
        <row r="1837">
          <cell r="A1837">
            <v>22</v>
          </cell>
        </row>
        <row r="1838">
          <cell r="A1838">
            <v>23</v>
          </cell>
        </row>
        <row r="1839">
          <cell r="A1839">
            <v>24</v>
          </cell>
        </row>
        <row r="1840">
          <cell r="A1840">
            <v>25</v>
          </cell>
        </row>
        <row r="1841">
          <cell r="A1841">
            <v>26</v>
          </cell>
        </row>
        <row r="1842">
          <cell r="A1842">
            <v>27</v>
          </cell>
        </row>
        <row r="1843">
          <cell r="A1843">
            <v>28</v>
          </cell>
        </row>
        <row r="1844">
          <cell r="A1844">
            <v>29</v>
          </cell>
        </row>
        <row r="1845">
          <cell r="A1845">
            <v>30</v>
          </cell>
        </row>
        <row r="1847">
          <cell r="A1847">
            <v>31</v>
          </cell>
        </row>
        <row r="1862">
          <cell r="A1862">
            <v>32</v>
          </cell>
        </row>
        <row r="1868">
          <cell r="A1868">
            <v>33</v>
          </cell>
        </row>
        <row r="1869">
          <cell r="A1869">
            <v>34</v>
          </cell>
        </row>
        <row r="1870">
          <cell r="A1870">
            <v>35</v>
          </cell>
        </row>
        <row r="1871">
          <cell r="A1871">
            <v>36</v>
          </cell>
        </row>
        <row r="1872">
          <cell r="A1872">
            <v>37</v>
          </cell>
        </row>
        <row r="1873">
          <cell r="A1873">
            <v>38</v>
          </cell>
        </row>
        <row r="1874">
          <cell r="A1874">
            <v>39</v>
          </cell>
        </row>
        <row r="1875">
          <cell r="A1875">
            <v>40</v>
          </cell>
        </row>
        <row r="1876">
          <cell r="A1876">
            <v>41</v>
          </cell>
        </row>
        <row r="1877">
          <cell r="A1877">
            <v>42</v>
          </cell>
        </row>
        <row r="1878">
          <cell r="A1878">
            <v>43</v>
          </cell>
        </row>
        <row r="1879">
          <cell r="A1879">
            <v>44</v>
          </cell>
        </row>
        <row r="1880">
          <cell r="A1880">
            <v>45</v>
          </cell>
        </row>
        <row r="1881">
          <cell r="A1881">
            <v>46</v>
          </cell>
        </row>
        <row r="1885">
          <cell r="A1885">
            <v>1</v>
          </cell>
        </row>
        <row r="1886">
          <cell r="A1886">
            <v>2</v>
          </cell>
        </row>
        <row r="1887">
          <cell r="A1887">
            <v>3</v>
          </cell>
        </row>
        <row r="1888">
          <cell r="A1888">
            <v>4</v>
          </cell>
        </row>
        <row r="1889">
          <cell r="A1889">
            <v>5</v>
          </cell>
        </row>
        <row r="1890">
          <cell r="A1890">
            <v>6</v>
          </cell>
        </row>
        <row r="1891">
          <cell r="A1891">
            <v>7</v>
          </cell>
        </row>
        <row r="1892">
          <cell r="A1892">
            <v>8</v>
          </cell>
        </row>
        <row r="1893">
          <cell r="A1893">
            <v>9</v>
          </cell>
        </row>
        <row r="1894">
          <cell r="A1894">
            <v>10</v>
          </cell>
        </row>
        <row r="1895">
          <cell r="A1895">
            <v>11</v>
          </cell>
        </row>
        <row r="1896">
          <cell r="A1896">
            <v>12</v>
          </cell>
        </row>
        <row r="1897">
          <cell r="A1897">
            <v>13</v>
          </cell>
        </row>
        <row r="1898">
          <cell r="A1898">
            <v>14</v>
          </cell>
        </row>
        <row r="1899">
          <cell r="A1899">
            <v>15</v>
          </cell>
        </row>
        <row r="1900">
          <cell r="A1900">
            <v>16</v>
          </cell>
        </row>
        <row r="1901">
          <cell r="A1901">
            <v>17</v>
          </cell>
        </row>
        <row r="1902">
          <cell r="A1902">
            <v>18</v>
          </cell>
        </row>
        <row r="1903">
          <cell r="A1903">
            <v>19</v>
          </cell>
        </row>
        <row r="1904">
          <cell r="A1904">
            <v>20</v>
          </cell>
        </row>
        <row r="1905">
          <cell r="A1905">
            <v>21</v>
          </cell>
        </row>
        <row r="1906">
          <cell r="A1906">
            <v>22</v>
          </cell>
        </row>
        <row r="1907">
          <cell r="A1907">
            <v>23</v>
          </cell>
        </row>
        <row r="1908">
          <cell r="A1908">
            <v>24</v>
          </cell>
        </row>
        <row r="1909">
          <cell r="A1909">
            <v>25</v>
          </cell>
        </row>
        <row r="1910">
          <cell r="A1910">
            <v>26</v>
          </cell>
        </row>
        <row r="1911">
          <cell r="A1911">
            <v>27</v>
          </cell>
        </row>
        <row r="1912">
          <cell r="A1912">
            <v>28</v>
          </cell>
        </row>
        <row r="1913">
          <cell r="A1913">
            <v>29</v>
          </cell>
        </row>
        <row r="1914">
          <cell r="A1914">
            <v>30</v>
          </cell>
        </row>
        <row r="1915">
          <cell r="A1915">
            <v>31</v>
          </cell>
        </row>
        <row r="1922">
          <cell r="A1922" t="str">
            <v>1.</v>
          </cell>
        </row>
        <row r="1948">
          <cell r="A1948" t="str">
            <v>1.</v>
          </cell>
        </row>
        <row r="1951">
          <cell r="A1951" t="str">
            <v>2.</v>
          </cell>
        </row>
        <row r="1954">
          <cell r="A1954" t="str">
            <v>3.</v>
          </cell>
        </row>
        <row r="1958">
          <cell r="A1958" t="str">
            <v>4.</v>
          </cell>
        </row>
        <row r="1961">
          <cell r="A1961" t="str">
            <v>5.</v>
          </cell>
        </row>
        <row r="1964">
          <cell r="A1964" t="str">
            <v>6.</v>
          </cell>
        </row>
        <row r="1967">
          <cell r="A1967" t="str">
            <v>7.</v>
          </cell>
        </row>
        <row r="1970">
          <cell r="A1970" t="str">
            <v>8.</v>
          </cell>
        </row>
        <row r="1974">
          <cell r="A1974" t="str">
            <v>9.</v>
          </cell>
        </row>
        <row r="1977">
          <cell r="A1977" t="str">
            <v>10.</v>
          </cell>
        </row>
        <row r="1979">
          <cell r="A1979" t="str">
            <v>11.</v>
          </cell>
        </row>
        <row r="1981">
          <cell r="A1981" t="str">
            <v>12.</v>
          </cell>
        </row>
        <row r="1984">
          <cell r="A1984" t="str">
            <v>13.</v>
          </cell>
        </row>
        <row r="1989">
          <cell r="A1989" t="str">
            <v>14.</v>
          </cell>
        </row>
        <row r="1993">
          <cell r="A1993" t="str">
            <v>15.</v>
          </cell>
        </row>
        <row r="1996">
          <cell r="A1996" t="str">
            <v>16.</v>
          </cell>
        </row>
        <row r="2000">
          <cell r="A2000" t="str">
            <v>17.</v>
          </cell>
        </row>
        <row r="2002">
          <cell r="A2002" t="str">
            <v>18.</v>
          </cell>
        </row>
        <row r="2004">
          <cell r="A2004" t="str">
            <v>19.</v>
          </cell>
        </row>
        <row r="2006">
          <cell r="A2006" t="str">
            <v>20.</v>
          </cell>
        </row>
        <row r="2009">
          <cell r="A2009" t="str">
            <v>1.</v>
          </cell>
        </row>
        <row r="2014">
          <cell r="A2014" t="str">
            <v>2.</v>
          </cell>
        </row>
        <row r="2019">
          <cell r="A2019" t="str">
            <v>3.</v>
          </cell>
        </row>
        <row r="2023">
          <cell r="A2023" t="str">
            <v>4.</v>
          </cell>
        </row>
        <row r="2025">
          <cell r="A2025" t="str">
            <v>5.</v>
          </cell>
        </row>
        <row r="2027">
          <cell r="A2027" t="str">
            <v>6.</v>
          </cell>
        </row>
        <row r="2029">
          <cell r="A2029" t="str">
            <v>7.</v>
          </cell>
        </row>
        <row r="2031">
          <cell r="A2031" t="str">
            <v>8.</v>
          </cell>
        </row>
        <row r="2035">
          <cell r="A2035" t="str">
            <v>9.</v>
          </cell>
        </row>
        <row r="2039">
          <cell r="A2039" t="str">
            <v>1.</v>
          </cell>
        </row>
        <row r="2044">
          <cell r="A2044" t="str">
            <v>1.</v>
          </cell>
        </row>
        <row r="2047">
          <cell r="A2047" t="str">
            <v>2.</v>
          </cell>
        </row>
        <row r="2050">
          <cell r="A2050" t="str">
            <v>3.</v>
          </cell>
        </row>
        <row r="2054">
          <cell r="A2054" t="str">
            <v>4.</v>
          </cell>
        </row>
        <row r="2056">
          <cell r="A2056" t="str">
            <v>5.</v>
          </cell>
        </row>
        <row r="2058">
          <cell r="A2058" t="str">
            <v>6.</v>
          </cell>
        </row>
        <row r="2063">
          <cell r="A2063" t="str">
            <v>7.</v>
          </cell>
        </row>
        <row r="2066">
          <cell r="A2066" t="str">
            <v>8.</v>
          </cell>
        </row>
        <row r="2068">
          <cell r="A2068" t="str">
            <v>9.</v>
          </cell>
        </row>
        <row r="2075">
          <cell r="A2075">
            <v>1</v>
          </cell>
        </row>
        <row r="2087">
          <cell r="A2087" t="str">
            <v>1.1</v>
          </cell>
        </row>
        <row r="2091">
          <cell r="A2091" t="str">
            <v>2.1</v>
          </cell>
        </row>
        <row r="2093">
          <cell r="A2093" t="str">
            <v>2.2</v>
          </cell>
        </row>
        <row r="2095">
          <cell r="A2095" t="str">
            <v>2.3</v>
          </cell>
        </row>
        <row r="2099">
          <cell r="A2099" t="str">
            <v>3.1</v>
          </cell>
        </row>
        <row r="2101">
          <cell r="A2101" t="str">
            <v>3.2</v>
          </cell>
        </row>
        <row r="2106">
          <cell r="A2106" t="str">
            <v>4.1</v>
          </cell>
        </row>
        <row r="2108">
          <cell r="A2108" t="str">
            <v>4.2</v>
          </cell>
        </row>
        <row r="2112">
          <cell r="A2112" t="str">
            <v>5.1</v>
          </cell>
        </row>
        <row r="2114">
          <cell r="A2114" t="str">
            <v>5.2</v>
          </cell>
        </row>
        <row r="2118">
          <cell r="A2118" t="str">
            <v>6.1</v>
          </cell>
        </row>
        <row r="2120">
          <cell r="A2120" t="str">
            <v>6.2</v>
          </cell>
        </row>
        <row r="2122">
          <cell r="A2122" t="str">
            <v>6.3</v>
          </cell>
        </row>
        <row r="2124">
          <cell r="A2124" t="str">
            <v>6.4</v>
          </cell>
        </row>
        <row r="2126">
          <cell r="A2126" t="str">
            <v>6.5</v>
          </cell>
        </row>
        <row r="2133">
          <cell r="A2133" t="str">
            <v>20.1</v>
          </cell>
        </row>
        <row r="2135">
          <cell r="A2135" t="str">
            <v>20.2</v>
          </cell>
        </row>
        <row r="2137">
          <cell r="A2137" t="str">
            <v>20.3</v>
          </cell>
        </row>
        <row r="2139">
          <cell r="A2139" t="str">
            <v>20.4</v>
          </cell>
        </row>
        <row r="2143">
          <cell r="A2143" t="str">
            <v>21.1</v>
          </cell>
        </row>
        <row r="2148">
          <cell r="A2148" t="str">
            <v>22.1</v>
          </cell>
        </row>
        <row r="2150">
          <cell r="A2150" t="str">
            <v>22.2</v>
          </cell>
        </row>
        <row r="2155">
          <cell r="A2155" t="str">
            <v>24.1</v>
          </cell>
        </row>
        <row r="2157">
          <cell r="A2157" t="str">
            <v>24.2</v>
          </cell>
        </row>
        <row r="2159">
          <cell r="A2159" t="str">
            <v>24.3</v>
          </cell>
        </row>
        <row r="2161">
          <cell r="A2161" t="str">
            <v>24.4</v>
          </cell>
        </row>
        <row r="2165">
          <cell r="A2165" t="str">
            <v>25.1</v>
          </cell>
        </row>
        <row r="2167">
          <cell r="A2167" t="str">
            <v>25.2</v>
          </cell>
        </row>
        <row r="2170">
          <cell r="A2170" t="str">
            <v>26.1</v>
          </cell>
        </row>
        <row r="2172">
          <cell r="A2172" t="str">
            <v>26.2</v>
          </cell>
        </row>
        <row r="2178">
          <cell r="A2178" t="str">
            <v>27.1</v>
          </cell>
        </row>
        <row r="2180">
          <cell r="A2180" t="str">
            <v>27.2</v>
          </cell>
        </row>
        <row r="2185">
          <cell r="A2185" t="str">
            <v>28.1</v>
          </cell>
        </row>
        <row r="2190">
          <cell r="A2190" t="str">
            <v>29.1</v>
          </cell>
        </row>
        <row r="2192">
          <cell r="A2192" t="str">
            <v>29.2</v>
          </cell>
        </row>
        <row r="2196">
          <cell r="A2196" t="str">
            <v>30.1</v>
          </cell>
        </row>
        <row r="2198">
          <cell r="A2198" t="str">
            <v>30.2</v>
          </cell>
        </row>
        <row r="2202">
          <cell r="A2202" t="str">
            <v>31.1</v>
          </cell>
        </row>
        <row r="2204">
          <cell r="A2204" t="str">
            <v>31.2</v>
          </cell>
        </row>
        <row r="2210">
          <cell r="A2210" t="str">
            <v>32.1</v>
          </cell>
        </row>
        <row r="2212">
          <cell r="A2212" t="str">
            <v>32.2</v>
          </cell>
        </row>
        <row r="2214">
          <cell r="A2214" t="str">
            <v>32.3</v>
          </cell>
        </row>
        <row r="2216">
          <cell r="A2216" t="str">
            <v>32.4</v>
          </cell>
        </row>
        <row r="2222">
          <cell r="A2222" t="str">
            <v>33.1</v>
          </cell>
        </row>
        <row r="2224">
          <cell r="A2224" t="str">
            <v>33.2</v>
          </cell>
        </row>
        <row r="2228">
          <cell r="A2228" t="str">
            <v>34.1</v>
          </cell>
        </row>
        <row r="2230">
          <cell r="A2230" t="str">
            <v>34.2</v>
          </cell>
        </row>
        <row r="2236">
          <cell r="A2236" t="str">
            <v>35.1</v>
          </cell>
        </row>
        <row r="2238">
          <cell r="A2238" t="str">
            <v>35.2</v>
          </cell>
        </row>
        <row r="2242">
          <cell r="A2242" t="str">
            <v>35a.1</v>
          </cell>
        </row>
        <row r="2248">
          <cell r="A2248" t="str">
            <v>36.1</v>
          </cell>
        </row>
        <row r="2252">
          <cell r="A2252" t="str">
            <v>37.1</v>
          </cell>
        </row>
        <row r="2259">
          <cell r="A2259" t="str">
            <v>38.1</v>
          </cell>
        </row>
        <row r="2261">
          <cell r="A2261" t="str">
            <v>38.2</v>
          </cell>
        </row>
        <row r="2265">
          <cell r="A2265" t="str">
            <v>39.1</v>
          </cell>
        </row>
        <row r="2270">
          <cell r="A2270" t="str">
            <v>40.1</v>
          </cell>
        </row>
        <row r="2272">
          <cell r="A2272" t="str">
            <v>40.2</v>
          </cell>
        </row>
        <row r="2276">
          <cell r="A2276" t="str">
            <v>42.1</v>
          </cell>
        </row>
        <row r="2278">
          <cell r="A2278" t="str">
            <v>42.2</v>
          </cell>
        </row>
        <row r="2280">
          <cell r="A2280" t="str">
            <v>42.3</v>
          </cell>
        </row>
        <row r="2282">
          <cell r="A2282" t="str">
            <v>42.4</v>
          </cell>
        </row>
        <row r="2287">
          <cell r="A2287" t="str">
            <v>50.1</v>
          </cell>
        </row>
        <row r="2290">
          <cell r="A2290" t="str">
            <v>51.1</v>
          </cell>
        </row>
        <row r="2292">
          <cell r="A2292" t="str">
            <v>51.2</v>
          </cell>
        </row>
        <row r="2296">
          <cell r="A2296" t="str">
            <v>52.1</v>
          </cell>
        </row>
        <row r="2300">
          <cell r="A2300" t="str">
            <v>60.1</v>
          </cell>
        </row>
        <row r="2303">
          <cell r="A2303" t="str">
            <v>60.2</v>
          </cell>
        </row>
        <row r="2305">
          <cell r="A2305" t="str">
            <v>60.3</v>
          </cell>
        </row>
        <row r="2307">
          <cell r="A2307" t="str">
            <v>60.4</v>
          </cell>
        </row>
        <row r="2311">
          <cell r="A2311" t="str">
            <v>61.1</v>
          </cell>
        </row>
        <row r="2314">
          <cell r="A2314" t="str">
            <v>61.2 a další</v>
          </cell>
        </row>
        <row r="2318">
          <cell r="A2318" t="str">
            <v>62.1</v>
          </cell>
        </row>
        <row r="2321">
          <cell r="A2321" t="str">
            <v>62.2 a další</v>
          </cell>
        </row>
      </sheetData>
      <sheetData sheetId="5">
        <row r="11">
          <cell r="A11" t="str">
            <v>1.</v>
          </cell>
        </row>
        <row r="12">
          <cell r="A12" t="str">
            <v>2.</v>
          </cell>
        </row>
        <row r="13">
          <cell r="A13" t="str">
            <v>3.</v>
          </cell>
        </row>
        <row r="15">
          <cell r="A15" t="str">
            <v>4.</v>
          </cell>
        </row>
        <row r="16">
          <cell r="A16" t="str">
            <v>5.</v>
          </cell>
        </row>
        <row r="19">
          <cell r="A19" t="str">
            <v>6.</v>
          </cell>
        </row>
        <row r="20">
          <cell r="A20" t="str">
            <v>7.</v>
          </cell>
        </row>
        <row r="21">
          <cell r="A21" t="str">
            <v>8.</v>
          </cell>
        </row>
        <row r="23">
          <cell r="A23" t="str">
            <v>9.</v>
          </cell>
        </row>
        <row r="24">
          <cell r="A24" t="str">
            <v>10.</v>
          </cell>
        </row>
        <row r="29">
          <cell r="A29" t="str">
            <v>1.</v>
          </cell>
        </row>
        <row r="30">
          <cell r="A30" t="str">
            <v>2.</v>
          </cell>
        </row>
        <row r="31">
          <cell r="A31" t="str">
            <v>3.</v>
          </cell>
        </row>
        <row r="32">
          <cell r="A32" t="str">
            <v>4.</v>
          </cell>
        </row>
        <row r="33">
          <cell r="A33" t="str">
            <v>6.</v>
          </cell>
        </row>
        <row r="34">
          <cell r="A34" t="str">
            <v>7.</v>
          </cell>
        </row>
        <row r="35">
          <cell r="A35" t="str">
            <v>8.</v>
          </cell>
        </row>
        <row r="36">
          <cell r="A36" t="str">
            <v>9.</v>
          </cell>
        </row>
        <row r="37">
          <cell r="A37" t="str">
            <v>10.</v>
          </cell>
        </row>
        <row r="42">
          <cell r="A42" t="str">
            <v>1.</v>
          </cell>
        </row>
        <row r="43">
          <cell r="A43" t="str">
            <v>2.</v>
          </cell>
        </row>
        <row r="44">
          <cell r="A44" t="str">
            <v>3.</v>
          </cell>
        </row>
        <row r="45">
          <cell r="A45" t="str">
            <v>4.</v>
          </cell>
        </row>
        <row r="46">
          <cell r="A46" t="str">
            <v>5.</v>
          </cell>
        </row>
        <row r="47">
          <cell r="A47" t="str">
            <v>6.</v>
          </cell>
        </row>
        <row r="48">
          <cell r="A48" t="str">
            <v>7.</v>
          </cell>
        </row>
        <row r="53">
          <cell r="A53" t="str">
            <v>1.</v>
          </cell>
        </row>
        <row r="54">
          <cell r="A54" t="str">
            <v>2.</v>
          </cell>
        </row>
        <row r="55">
          <cell r="A55" t="str">
            <v>3.</v>
          </cell>
        </row>
        <row r="56">
          <cell r="A56" t="str">
            <v>4.</v>
          </cell>
        </row>
        <row r="57">
          <cell r="A57" t="str">
            <v>5.</v>
          </cell>
        </row>
        <row r="58">
          <cell r="A58" t="str">
            <v>6.</v>
          </cell>
        </row>
        <row r="63">
          <cell r="A63" t="str">
            <v>1.</v>
          </cell>
        </row>
        <row r="64">
          <cell r="A64" t="str">
            <v>2.</v>
          </cell>
        </row>
        <row r="65">
          <cell r="A65" t="str">
            <v>3.</v>
          </cell>
        </row>
        <row r="66">
          <cell r="A66" t="str">
            <v>4.</v>
          </cell>
        </row>
        <row r="67">
          <cell r="A67" t="str">
            <v>5.</v>
          </cell>
        </row>
        <row r="68">
          <cell r="A68" t="str">
            <v>6.</v>
          </cell>
        </row>
        <row r="69">
          <cell r="A69" t="str">
            <v>7.</v>
          </cell>
        </row>
        <row r="70">
          <cell r="A70" t="str">
            <v>8.</v>
          </cell>
        </row>
        <row r="71">
          <cell r="A71" t="str">
            <v>9.</v>
          </cell>
        </row>
        <row r="72">
          <cell r="A72" t="str">
            <v>10.</v>
          </cell>
        </row>
        <row r="77">
          <cell r="A77" t="str">
            <v>1.</v>
          </cell>
        </row>
        <row r="78">
          <cell r="A78" t="str">
            <v>2.</v>
          </cell>
        </row>
        <row r="79">
          <cell r="A79" t="str">
            <v>3.</v>
          </cell>
        </row>
        <row r="80">
          <cell r="A80" t="str">
            <v>4.</v>
          </cell>
        </row>
        <row r="81">
          <cell r="A81" t="str">
            <v>5.</v>
          </cell>
        </row>
        <row r="82">
          <cell r="A82" t="str">
            <v>6.</v>
          </cell>
        </row>
        <row r="83">
          <cell r="A83" t="str">
            <v>7.</v>
          </cell>
        </row>
        <row r="84">
          <cell r="A84" t="str">
            <v>8.</v>
          </cell>
        </row>
        <row r="85">
          <cell r="A85" t="str">
            <v>9.</v>
          </cell>
        </row>
        <row r="86">
          <cell r="A86" t="str">
            <v>10.</v>
          </cell>
        </row>
        <row r="87">
          <cell r="A87" t="str">
            <v>11.</v>
          </cell>
        </row>
        <row r="88">
          <cell r="A88" t="str">
            <v>12.</v>
          </cell>
        </row>
        <row r="89">
          <cell r="A89" t="str">
            <v>13.</v>
          </cell>
        </row>
        <row r="90">
          <cell r="A90" t="str">
            <v>14.</v>
          </cell>
        </row>
        <row r="91">
          <cell r="A91" t="str">
            <v>15.</v>
          </cell>
        </row>
        <row r="92">
          <cell r="A92" t="str">
            <v>16.</v>
          </cell>
        </row>
        <row r="93">
          <cell r="A93" t="str">
            <v>17.</v>
          </cell>
        </row>
        <row r="94">
          <cell r="A94" t="str">
            <v>18.</v>
          </cell>
        </row>
        <row r="95">
          <cell r="A95" t="str">
            <v>19.</v>
          </cell>
        </row>
        <row r="96">
          <cell r="A96" t="str">
            <v>20.</v>
          </cell>
        </row>
        <row r="97">
          <cell r="A97" t="str">
            <v>21.</v>
          </cell>
        </row>
        <row r="98">
          <cell r="A98" t="str">
            <v>22.</v>
          </cell>
        </row>
        <row r="104">
          <cell r="A104" t="str">
            <v>1.</v>
          </cell>
        </row>
        <row r="107">
          <cell r="A107" t="str">
            <v>2.</v>
          </cell>
        </row>
        <row r="112">
          <cell r="A112" t="str">
            <v>3.</v>
          </cell>
        </row>
        <row r="114">
          <cell r="A114" t="str">
            <v>4.</v>
          </cell>
        </row>
        <row r="116">
          <cell r="A116" t="str">
            <v>5.</v>
          </cell>
        </row>
        <row r="119">
          <cell r="A119" t="str">
            <v>6.</v>
          </cell>
        </row>
        <row r="121">
          <cell r="A121" t="str">
            <v>7.</v>
          </cell>
        </row>
        <row r="123">
          <cell r="A123" t="str">
            <v>8.</v>
          </cell>
        </row>
        <row r="129">
          <cell r="A129" t="str">
            <v>9.</v>
          </cell>
        </row>
        <row r="131">
          <cell r="A131" t="str">
            <v>10.</v>
          </cell>
        </row>
        <row r="134">
          <cell r="A134" t="str">
            <v>11.</v>
          </cell>
        </row>
        <row r="138">
          <cell r="A138" t="str">
            <v>12.</v>
          </cell>
        </row>
        <row r="141">
          <cell r="A141" t="str">
            <v>13.</v>
          </cell>
        </row>
        <row r="144">
          <cell r="A144" t="str">
            <v>14.</v>
          </cell>
        </row>
        <row r="147">
          <cell r="A147" t="str">
            <v>15.</v>
          </cell>
        </row>
        <row r="150">
          <cell r="A150" t="str">
            <v>16.</v>
          </cell>
        </row>
        <row r="152">
          <cell r="A152" t="str">
            <v>17.</v>
          </cell>
        </row>
        <row r="156">
          <cell r="A156" t="str">
            <v>18.</v>
          </cell>
        </row>
        <row r="168">
          <cell r="A168" t="str">
            <v>19.</v>
          </cell>
        </row>
        <row r="171">
          <cell r="A171" t="str">
            <v>20.</v>
          </cell>
        </row>
        <row r="176">
          <cell r="A176" t="str">
            <v>21.</v>
          </cell>
        </row>
        <row r="178">
          <cell r="A178" t="str">
            <v>22.</v>
          </cell>
        </row>
        <row r="182">
          <cell r="A182" t="str">
            <v>23.</v>
          </cell>
        </row>
        <row r="187">
          <cell r="A187" t="str">
            <v>1.</v>
          </cell>
        </row>
        <row r="188">
          <cell r="A188" t="str">
            <v>2.</v>
          </cell>
        </row>
        <row r="190">
          <cell r="A190" t="str">
            <v>3.</v>
          </cell>
        </row>
        <row r="191">
          <cell r="A191" t="str">
            <v>4.</v>
          </cell>
        </row>
        <row r="192">
          <cell r="A192" t="str">
            <v>5.</v>
          </cell>
        </row>
        <row r="193">
          <cell r="A193" t="str">
            <v>6.</v>
          </cell>
        </row>
        <row r="194">
          <cell r="A194">
            <v>7</v>
          </cell>
        </row>
        <row r="195">
          <cell r="A195" t="str">
            <v>8.</v>
          </cell>
        </row>
        <row r="196">
          <cell r="A196" t="str">
            <v>9.</v>
          </cell>
        </row>
        <row r="197">
          <cell r="A197" t="str">
            <v>10.</v>
          </cell>
        </row>
        <row r="198">
          <cell r="A198" t="str">
            <v>11.</v>
          </cell>
        </row>
        <row r="199">
          <cell r="A199" t="str">
            <v>12.</v>
          </cell>
        </row>
        <row r="201">
          <cell r="A201" t="str">
            <v>13.</v>
          </cell>
        </row>
        <row r="204">
          <cell r="A204" t="str">
            <v>14.</v>
          </cell>
        </row>
        <row r="206">
          <cell r="A206" t="str">
            <v>15.</v>
          </cell>
        </row>
        <row r="213">
          <cell r="A213" t="str">
            <v>1.</v>
          </cell>
        </row>
        <row r="214">
          <cell r="A214" t="str">
            <v>2.</v>
          </cell>
        </row>
        <row r="215">
          <cell r="A215" t="str">
            <v>3.</v>
          </cell>
        </row>
        <row r="216">
          <cell r="A216" t="str">
            <v>4.</v>
          </cell>
        </row>
        <row r="217">
          <cell r="A217" t="str">
            <v>5.</v>
          </cell>
        </row>
        <row r="218">
          <cell r="A218" t="str">
            <v>6.</v>
          </cell>
        </row>
        <row r="219">
          <cell r="A219" t="str">
            <v>7.</v>
          </cell>
        </row>
      </sheetData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01 - 06 ELEKTROINSTALACE"/>
      <sheetName val="SO 01 _ 06 ELEKTROINSTALACE"/>
      <sheetName val="mar"/>
      <sheetName val="úprava faktury"/>
      <sheetName val="dodav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bdodávky"/>
      <sheetName val="Rekapitulace"/>
      <sheetName val="Rozpočet"/>
      <sheetName val="Sazby"/>
      <sheetName val="ZS"/>
      <sheetName val="konf"/>
      <sheetName val="Volba_rekap"/>
      <sheetName val="Schema_roz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  <sheetName val="SO 11"/>
      <sheetName val="Rozpočet"/>
      <sheetName val="SO_11_1A_Výkaz_výměr16"/>
      <sheetName val="SO_11_1B_Výkaz_výměr8"/>
      <sheetName val="SO_11_1ST_Výkaz_výměr8"/>
      <sheetName val="SO_11_1B_Kniha_specifikací8"/>
      <sheetName val="SO_11_1ST_Kniha_specifikací8"/>
      <sheetName val="SO_11_1A_Výkaz_výměr17"/>
      <sheetName val="SO_11_1A_Výkaz_výměr6"/>
      <sheetName val="SO_11_1B_Výkaz_výměr3"/>
      <sheetName val="SO_11_1ST_Výkaz_výměr3"/>
      <sheetName val="SO_11_1B_Kniha_specifikací3"/>
      <sheetName val="SO_11_1ST_Kniha_specifikací3"/>
      <sheetName val="SO_11_1A_Výkaz_výměr7"/>
      <sheetName val="SO_11_1A_Výkaz_výměr4"/>
      <sheetName val="SO_11_1B_Výkaz_výměr2"/>
      <sheetName val="SO_11_1ST_Výkaz_výměr2"/>
      <sheetName val="SO_11_1B_Kniha_specifikací2"/>
      <sheetName val="SO_11_1ST_Kniha_specifikací2"/>
      <sheetName val="SO_11_1A_Výkaz_výměr5"/>
      <sheetName val="SO_11_1A_Výkaz_výměr8"/>
      <sheetName val="SO_11_1B_Výkaz_výměr4"/>
      <sheetName val="SO_11_1ST_Výkaz_výměr4"/>
      <sheetName val="SO_11_1B_Kniha_specifikací4"/>
      <sheetName val="SO_11_1ST_Kniha_specifikací4"/>
      <sheetName val="SO_11_1A_Výkaz_výměr9"/>
      <sheetName val="SO_11_1A_Výkaz_výměr10"/>
      <sheetName val="SO_11_1B_Výkaz_výměr5"/>
      <sheetName val="SO_11_1ST_Výkaz_výměr5"/>
      <sheetName val="SO_11_1B_Kniha_specifikací5"/>
      <sheetName val="SO_11_1ST_Kniha_specifikací5"/>
      <sheetName val="SO_11_1A_Výkaz_výměr11"/>
      <sheetName val="SO_11_1A_Výkaz_výměr12"/>
      <sheetName val="SO_11_1B_Výkaz_výměr6"/>
      <sheetName val="SO_11_1ST_Výkaz_výměr6"/>
      <sheetName val="SO_11_1B_Kniha_specifikací6"/>
      <sheetName val="SO_11_1ST_Kniha_specifikací6"/>
      <sheetName val="SO_11_1A_Výkaz_výměr13"/>
      <sheetName val="SO_11_1A_Výkaz_výměr14"/>
      <sheetName val="SO_11_1B_Výkaz_výměr7"/>
      <sheetName val="SO_11_1ST_Výkaz_výměr7"/>
      <sheetName val="SO_11_1B_Kniha_specifikací7"/>
      <sheetName val="SO_11_1ST_Kniha_specifikací7"/>
      <sheetName val="SO_11_1A_Výkaz_výměr15"/>
      <sheetName val="SO_11_1A_Výkaz_výměr18"/>
      <sheetName val="SO_11_1B_Výkaz_výměr9"/>
      <sheetName val="SO_11_1ST_Výkaz_výměr9"/>
      <sheetName val="SO_11_1B_Kniha_specifikací9"/>
      <sheetName val="SO_11_1ST_Kniha_specifikací9"/>
      <sheetName val="SO_11_1A_Výkaz_výměr19"/>
      <sheetName val="SO_11_1A_Výkaz_výměr20"/>
      <sheetName val="SO_11_1B_Výkaz_výměr10"/>
      <sheetName val="SO_11_1ST_Výkaz_výměr10"/>
      <sheetName val="SO_11_1B_Kniha_specifikací10"/>
      <sheetName val="SO_11_1ST_Kniha_specifikací10"/>
      <sheetName val="SO_11_1A_Výkaz_výměr21"/>
      <sheetName val="SO_11_1A_Výkaz_výměr22"/>
      <sheetName val="SO_11_1B_Výkaz_výměr11"/>
      <sheetName val="SO_11_1ST_Výkaz_výměr11"/>
      <sheetName val="SO_11_1B_Kniha_specifikací11"/>
      <sheetName val="SO_11_1ST_Kniha_specifikací11"/>
      <sheetName val="SO_11_1A_Výkaz_výměr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ALKA"/>
      <sheetName val="VV"/>
      <sheetName val="List2"/>
      <sheetName val="List3"/>
      <sheetName val="armstrong"/>
      <sheetName val="položkový rozpočet"/>
      <sheetName val="rekapitulace"/>
      <sheetName val="položky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AT117"/>
  <sheetViews>
    <sheetView showGridLines="0" tabSelected="1" view="pageBreakPreview" zoomScaleSheetLayoutView="100" workbookViewId="0" topLeftCell="A1">
      <pane ySplit="1" topLeftCell="A2" activePane="bottomLeft" state="frozen"/>
      <selection pane="topLeft" activeCell="C2" sqref="C2:AP2"/>
      <selection pane="bottomLeft" activeCell="K4" sqref="K4:AO4"/>
    </sheetView>
  </sheetViews>
  <sheetFormatPr defaultColWidth="9.33203125" defaultRowHeight="13.5"/>
  <cols>
    <col min="1" max="1" width="8.33203125" style="4" customWidth="1"/>
    <col min="2" max="2" width="1.66796875" style="4" customWidth="1"/>
    <col min="3" max="3" width="4.16015625" style="4" customWidth="1"/>
    <col min="4" max="7" width="2.5" style="4" customWidth="1"/>
    <col min="8" max="8" width="9.33203125" style="4" customWidth="1"/>
    <col min="9" max="25" width="2.5" style="4" customWidth="1"/>
    <col min="26" max="26" width="4.5" style="4" customWidth="1"/>
    <col min="27" max="33" width="2.5" style="4" customWidth="1"/>
    <col min="34" max="34" width="3.33203125" style="4" customWidth="1"/>
    <col min="35" max="37" width="2.5" style="4" customWidth="1"/>
    <col min="38" max="38" width="8.33203125" style="4" customWidth="1"/>
    <col min="39" max="39" width="3.33203125" style="4" customWidth="1"/>
    <col min="40" max="40" width="13.33203125" style="4" customWidth="1"/>
    <col min="41" max="41" width="7.5" style="4" customWidth="1"/>
    <col min="42" max="42" width="4.16015625" style="4" customWidth="1"/>
    <col min="43" max="43" width="1.66796875" style="4" customWidth="1"/>
    <col min="44" max="44" width="3" style="4" customWidth="1"/>
    <col min="45" max="45" width="13.83203125" style="4" bestFit="1" customWidth="1"/>
    <col min="46" max="46" width="28.16015625" style="4" customWidth="1"/>
    <col min="47" max="16384" width="9.33203125" style="4" customWidth="1"/>
  </cols>
  <sheetData>
    <row r="1" spans="2:43" ht="6.9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</row>
    <row r="2" spans="2:43" ht="36.95" customHeight="1">
      <c r="B2" s="5"/>
      <c r="C2" s="596" t="s">
        <v>1</v>
      </c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7"/>
      <c r="AL2" s="597"/>
      <c r="AM2" s="597"/>
      <c r="AN2" s="597"/>
      <c r="AO2" s="597"/>
      <c r="AP2" s="597"/>
      <c r="AQ2" s="6"/>
    </row>
    <row r="3" spans="2:43" ht="14.45" customHeight="1">
      <c r="B3" s="5"/>
      <c r="D3" s="7" t="s">
        <v>2</v>
      </c>
      <c r="K3" s="591">
        <v>2205</v>
      </c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3"/>
      <c r="AO3" s="603"/>
      <c r="AQ3" s="6"/>
    </row>
    <row r="4" spans="2:43" ht="36.95" customHeight="1">
      <c r="B4" s="5"/>
      <c r="D4" s="8" t="s">
        <v>3</v>
      </c>
      <c r="K4" s="590" t="s">
        <v>603</v>
      </c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Q4" s="6"/>
    </row>
    <row r="5" spans="2:43" ht="14.45" customHeight="1">
      <c r="B5" s="5"/>
      <c r="D5" s="7" t="s">
        <v>4</v>
      </c>
      <c r="K5" s="9" t="s">
        <v>0</v>
      </c>
      <c r="AK5" s="7" t="s">
        <v>5</v>
      </c>
      <c r="AN5" s="9" t="s">
        <v>0</v>
      </c>
      <c r="AQ5" s="6"/>
    </row>
    <row r="6" spans="2:43" ht="36" customHeight="1">
      <c r="B6" s="5"/>
      <c r="D6" s="7" t="s">
        <v>6</v>
      </c>
      <c r="K6" s="608" t="s">
        <v>604</v>
      </c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8"/>
      <c r="AC6" s="608"/>
      <c r="AD6" s="608"/>
      <c r="AE6" s="608"/>
      <c r="AF6" s="608"/>
      <c r="AG6" s="608"/>
      <c r="AH6" s="608"/>
      <c r="AI6" s="608"/>
      <c r="AJ6" s="608"/>
      <c r="AK6" s="7" t="s">
        <v>7</v>
      </c>
      <c r="AN6" s="185"/>
      <c r="AQ6" s="6"/>
    </row>
    <row r="7" spans="2:43" ht="14.45" customHeight="1">
      <c r="B7" s="5"/>
      <c r="AQ7" s="6"/>
    </row>
    <row r="8" spans="2:43" ht="14.45" customHeight="1">
      <c r="B8" s="5"/>
      <c r="D8" s="7" t="s">
        <v>8</v>
      </c>
      <c r="K8" s="4" t="s">
        <v>605</v>
      </c>
      <c r="AK8" s="7" t="s">
        <v>9</v>
      </c>
      <c r="AN8" s="9" t="s">
        <v>0</v>
      </c>
      <c r="AQ8" s="6"/>
    </row>
    <row r="9" spans="2:43" ht="18.4" customHeight="1">
      <c r="B9" s="5"/>
      <c r="E9" s="9"/>
      <c r="AK9" s="7" t="s">
        <v>10</v>
      </c>
      <c r="AN9" s="9" t="s">
        <v>0</v>
      </c>
      <c r="AQ9" s="6"/>
    </row>
    <row r="10" spans="2:43" ht="6.95" customHeight="1">
      <c r="B10" s="5"/>
      <c r="AQ10" s="6"/>
    </row>
    <row r="11" spans="2:43" ht="14.45" customHeight="1">
      <c r="B11" s="5"/>
      <c r="D11" s="7" t="s">
        <v>11</v>
      </c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K11" s="7" t="s">
        <v>9</v>
      </c>
      <c r="AN11" s="9" t="s">
        <v>0</v>
      </c>
      <c r="AQ11" s="6"/>
    </row>
    <row r="12" spans="2:43" ht="12">
      <c r="B12" s="5"/>
      <c r="E12" s="9" t="s">
        <v>12</v>
      </c>
      <c r="AK12" s="7" t="s">
        <v>10</v>
      </c>
      <c r="AN12" s="9" t="s">
        <v>0</v>
      </c>
      <c r="AQ12" s="6"/>
    </row>
    <row r="13" spans="2:43" ht="6.95" customHeight="1">
      <c r="B13" s="5"/>
      <c r="AQ13" s="6"/>
    </row>
    <row r="14" spans="2:43" ht="14.45" customHeight="1">
      <c r="B14" s="5"/>
      <c r="D14" s="7" t="s">
        <v>13</v>
      </c>
      <c r="AK14" s="7" t="s">
        <v>9</v>
      </c>
      <c r="AN14" s="9" t="s">
        <v>0</v>
      </c>
      <c r="AQ14" s="6"/>
    </row>
    <row r="15" spans="2:43" ht="18.4" customHeight="1">
      <c r="B15" s="5"/>
      <c r="E15" s="9" t="s">
        <v>2054</v>
      </c>
      <c r="AK15" s="7" t="s">
        <v>10</v>
      </c>
      <c r="AN15" s="9" t="s">
        <v>0</v>
      </c>
      <c r="AQ15" s="6"/>
    </row>
    <row r="16" spans="2:43" ht="6.95" customHeight="1">
      <c r="B16" s="5"/>
      <c r="AQ16" s="6"/>
    </row>
    <row r="17" spans="2:43" ht="14.45" customHeight="1">
      <c r="B17" s="5"/>
      <c r="D17" s="7" t="s">
        <v>14</v>
      </c>
      <c r="AK17" s="7" t="s">
        <v>9</v>
      </c>
      <c r="AN17" s="9" t="s">
        <v>0</v>
      </c>
      <c r="AQ17" s="6"/>
    </row>
    <row r="18" spans="2:43" ht="18.4" customHeight="1">
      <c r="B18" s="5"/>
      <c r="E18" s="9" t="s">
        <v>15</v>
      </c>
      <c r="AK18" s="7" t="s">
        <v>10</v>
      </c>
      <c r="AN18" s="9" t="s">
        <v>0</v>
      </c>
      <c r="AQ18" s="6"/>
    </row>
    <row r="19" spans="2:43" ht="6.95" customHeight="1">
      <c r="B19" s="5"/>
      <c r="AQ19" s="6"/>
    </row>
    <row r="20" spans="2:43" ht="14.45" customHeight="1">
      <c r="B20" s="5"/>
      <c r="D20" s="7" t="s">
        <v>192</v>
      </c>
      <c r="AK20" s="7"/>
      <c r="AN20" s="9" t="s">
        <v>0</v>
      </c>
      <c r="AQ20" s="6"/>
    </row>
    <row r="21" spans="2:43" ht="18.4" customHeight="1">
      <c r="B21" s="5"/>
      <c r="E21" s="9" t="s">
        <v>2345</v>
      </c>
      <c r="AK21" s="7"/>
      <c r="AN21" s="9" t="s">
        <v>0</v>
      </c>
      <c r="AQ21" s="6"/>
    </row>
    <row r="22" spans="2:43" ht="6.95" customHeight="1">
      <c r="B22" s="5"/>
      <c r="AQ22" s="6"/>
    </row>
    <row r="23" spans="2:43" ht="12">
      <c r="B23" s="5"/>
      <c r="D23" s="9" t="s">
        <v>96</v>
      </c>
      <c r="AQ23" s="6"/>
    </row>
    <row r="24" spans="2:43" s="557" customFormat="1" ht="15" customHeight="1">
      <c r="B24" s="556"/>
      <c r="E24" s="605" t="s">
        <v>2454</v>
      </c>
      <c r="F24" s="605"/>
      <c r="G24" s="605"/>
      <c r="H24" s="604">
        <v>45104</v>
      </c>
      <c r="I24" s="604"/>
      <c r="J24" s="563"/>
      <c r="K24" s="610" t="s">
        <v>2461</v>
      </c>
      <c r="L24" s="610"/>
      <c r="M24" s="610"/>
      <c r="N24" s="610"/>
      <c r="O24" s="610"/>
      <c r="P24" s="610"/>
      <c r="Q24" s="610"/>
      <c r="R24" s="610"/>
      <c r="S24" s="610"/>
      <c r="T24" s="610"/>
      <c r="U24" s="610"/>
      <c r="V24" s="610"/>
      <c r="W24" s="610"/>
      <c r="X24" s="610"/>
      <c r="Y24" s="610"/>
      <c r="Z24" s="610"/>
      <c r="AA24" s="610"/>
      <c r="AB24" s="610"/>
      <c r="AC24" s="610"/>
      <c r="AD24" s="610"/>
      <c r="AE24" s="610"/>
      <c r="AF24" s="610"/>
      <c r="AG24" s="610"/>
      <c r="AH24" s="610"/>
      <c r="AI24" s="610"/>
      <c r="AJ24" s="610"/>
      <c r="AK24" s="610"/>
      <c r="AL24" s="610"/>
      <c r="AM24" s="610"/>
      <c r="AN24" s="610"/>
      <c r="AO24" s="610"/>
      <c r="AQ24" s="558"/>
    </row>
    <row r="25" spans="2:43" s="177" customFormat="1" ht="15" customHeight="1">
      <c r="B25" s="175"/>
      <c r="E25" s="606"/>
      <c r="F25" s="606"/>
      <c r="G25" s="606"/>
      <c r="H25" s="607"/>
      <c r="I25" s="607"/>
      <c r="J25" s="4"/>
      <c r="K25" s="608"/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608"/>
      <c r="AG25" s="608"/>
      <c r="AH25" s="608"/>
      <c r="AI25" s="608"/>
      <c r="AJ25" s="608"/>
      <c r="AK25" s="608"/>
      <c r="AL25" s="608"/>
      <c r="AM25" s="608"/>
      <c r="AN25" s="608"/>
      <c r="AO25" s="608"/>
      <c r="AQ25" s="178"/>
    </row>
    <row r="26" spans="2:43" ht="6.95" customHeight="1">
      <c r="B26" s="5"/>
      <c r="AQ26" s="6"/>
    </row>
    <row r="27" spans="2:43" ht="6.95" customHeight="1">
      <c r="B27" s="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Q27" s="6"/>
    </row>
    <row r="28" spans="2:43" ht="14.45" customHeight="1">
      <c r="B28" s="5"/>
      <c r="D28" s="11" t="s">
        <v>105</v>
      </c>
      <c r="AK28" s="611">
        <f>AG116</f>
        <v>0</v>
      </c>
      <c r="AL28" s="603"/>
      <c r="AM28" s="603"/>
      <c r="AN28" s="603"/>
      <c r="AO28" s="603"/>
      <c r="AQ28" s="6"/>
    </row>
    <row r="29" spans="2:43" ht="6.95" customHeight="1">
      <c r="B29" s="5"/>
      <c r="AQ29" s="6"/>
    </row>
    <row r="30" spans="2:43" ht="25.9" customHeight="1">
      <c r="B30" s="5"/>
      <c r="D30" s="12" t="s">
        <v>16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612">
        <f>ROUND(AK28,2)</f>
        <v>0</v>
      </c>
      <c r="AL30" s="613"/>
      <c r="AM30" s="613"/>
      <c r="AN30" s="613"/>
      <c r="AO30" s="613"/>
      <c r="AQ30" s="6"/>
    </row>
    <row r="31" spans="2:43" ht="6.95" customHeight="1">
      <c r="B31" s="5"/>
      <c r="AQ31" s="6"/>
    </row>
    <row r="32" spans="2:43" s="15" customFormat="1" ht="14.45" customHeight="1">
      <c r="B32" s="14"/>
      <c r="D32" s="16" t="s">
        <v>17</v>
      </c>
      <c r="F32" s="16" t="s">
        <v>18</v>
      </c>
      <c r="L32" s="586">
        <v>0.21</v>
      </c>
      <c r="M32" s="587"/>
      <c r="N32" s="587"/>
      <c r="O32" s="587"/>
      <c r="T32" s="17" t="s">
        <v>19</v>
      </c>
      <c r="W32" s="588">
        <f>AK30</f>
        <v>0</v>
      </c>
      <c r="X32" s="587"/>
      <c r="Y32" s="587"/>
      <c r="Z32" s="587"/>
      <c r="AA32" s="587"/>
      <c r="AB32" s="587"/>
      <c r="AC32" s="587"/>
      <c r="AD32" s="587"/>
      <c r="AE32" s="587"/>
      <c r="AK32" s="588">
        <f>ROUND(W32*L32,2)</f>
        <v>0</v>
      </c>
      <c r="AL32" s="587"/>
      <c r="AM32" s="587"/>
      <c r="AN32" s="587"/>
      <c r="AO32" s="587"/>
      <c r="AQ32" s="18"/>
    </row>
    <row r="33" spans="2:43" s="15" customFormat="1" ht="14.45" customHeight="1">
      <c r="B33" s="14"/>
      <c r="F33" s="16" t="s">
        <v>20</v>
      </c>
      <c r="L33" s="586">
        <v>0.15</v>
      </c>
      <c r="M33" s="587"/>
      <c r="N33" s="587"/>
      <c r="O33" s="587"/>
      <c r="T33" s="17" t="s">
        <v>19</v>
      </c>
      <c r="W33" s="588"/>
      <c r="X33" s="587"/>
      <c r="Y33" s="587"/>
      <c r="Z33" s="587"/>
      <c r="AA33" s="587"/>
      <c r="AB33" s="587"/>
      <c r="AC33" s="587"/>
      <c r="AD33" s="587"/>
      <c r="AE33" s="587"/>
      <c r="AK33" s="588">
        <f>ROUND(W33*L33,2)</f>
        <v>0</v>
      </c>
      <c r="AL33" s="587"/>
      <c r="AM33" s="587"/>
      <c r="AN33" s="587"/>
      <c r="AO33" s="587"/>
      <c r="AQ33" s="18"/>
    </row>
    <row r="34" spans="2:43" s="15" customFormat="1" ht="14.45" customHeight="1" hidden="1">
      <c r="B34" s="14"/>
      <c r="F34" s="16" t="s">
        <v>21</v>
      </c>
      <c r="L34" s="586">
        <v>0.21</v>
      </c>
      <c r="M34" s="587"/>
      <c r="N34" s="587"/>
      <c r="O34" s="587"/>
      <c r="T34" s="17" t="s">
        <v>19</v>
      </c>
      <c r="W34" s="588" t="e">
        <f>ROUND(#REF!+SUM(#REF!),2)</f>
        <v>#REF!</v>
      </c>
      <c r="X34" s="587"/>
      <c r="Y34" s="587"/>
      <c r="Z34" s="587"/>
      <c r="AA34" s="587"/>
      <c r="AB34" s="587"/>
      <c r="AC34" s="587"/>
      <c r="AD34" s="587"/>
      <c r="AE34" s="587"/>
      <c r="AK34" s="588">
        <v>0</v>
      </c>
      <c r="AL34" s="587"/>
      <c r="AM34" s="587"/>
      <c r="AN34" s="587"/>
      <c r="AO34" s="587"/>
      <c r="AQ34" s="18"/>
    </row>
    <row r="35" spans="2:43" s="15" customFormat="1" ht="14.45" customHeight="1" hidden="1">
      <c r="B35" s="14"/>
      <c r="F35" s="16" t="s">
        <v>22</v>
      </c>
      <c r="L35" s="586">
        <v>0.15</v>
      </c>
      <c r="M35" s="587"/>
      <c r="N35" s="587"/>
      <c r="O35" s="587"/>
      <c r="T35" s="17" t="s">
        <v>19</v>
      </c>
      <c r="W35" s="588" t="e">
        <f>ROUND(#REF!+SUM(#REF!),2)</f>
        <v>#REF!</v>
      </c>
      <c r="X35" s="587"/>
      <c r="Y35" s="587"/>
      <c r="Z35" s="587"/>
      <c r="AA35" s="587"/>
      <c r="AB35" s="587"/>
      <c r="AC35" s="587"/>
      <c r="AD35" s="587"/>
      <c r="AE35" s="587"/>
      <c r="AK35" s="588">
        <v>0</v>
      </c>
      <c r="AL35" s="587"/>
      <c r="AM35" s="587"/>
      <c r="AN35" s="587"/>
      <c r="AO35" s="587"/>
      <c r="AQ35" s="18"/>
    </row>
    <row r="36" spans="2:43" s="15" customFormat="1" ht="14.45" customHeight="1" hidden="1">
      <c r="B36" s="14"/>
      <c r="F36" s="16" t="s">
        <v>23</v>
      </c>
      <c r="L36" s="586">
        <v>0</v>
      </c>
      <c r="M36" s="587"/>
      <c r="N36" s="587"/>
      <c r="O36" s="587"/>
      <c r="T36" s="17" t="s">
        <v>19</v>
      </c>
      <c r="W36" s="588" t="e">
        <f>ROUND(#REF!+SUM(#REF!),2)</f>
        <v>#REF!</v>
      </c>
      <c r="X36" s="587"/>
      <c r="Y36" s="587"/>
      <c r="Z36" s="587"/>
      <c r="AA36" s="587"/>
      <c r="AB36" s="587"/>
      <c r="AC36" s="587"/>
      <c r="AD36" s="587"/>
      <c r="AE36" s="587"/>
      <c r="AK36" s="588">
        <v>0</v>
      </c>
      <c r="AL36" s="587"/>
      <c r="AM36" s="587"/>
      <c r="AN36" s="587"/>
      <c r="AO36" s="587"/>
      <c r="AQ36" s="18"/>
    </row>
    <row r="37" spans="2:43" ht="6.95" customHeight="1">
      <c r="B37" s="5"/>
      <c r="AQ37" s="6"/>
    </row>
    <row r="38" spans="2:43" ht="25.9" customHeight="1">
      <c r="B38" s="5"/>
      <c r="C38" s="19"/>
      <c r="D38" s="20" t="s">
        <v>24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 t="s">
        <v>25</v>
      </c>
      <c r="U38" s="21"/>
      <c r="V38" s="21"/>
      <c r="W38" s="21"/>
      <c r="X38" s="614" t="s">
        <v>26</v>
      </c>
      <c r="Y38" s="594"/>
      <c r="Z38" s="594"/>
      <c r="AA38" s="594"/>
      <c r="AB38" s="594"/>
      <c r="AC38" s="21"/>
      <c r="AD38" s="21"/>
      <c r="AE38" s="21"/>
      <c r="AF38" s="21"/>
      <c r="AG38" s="21"/>
      <c r="AH38" s="21"/>
      <c r="AI38" s="21"/>
      <c r="AJ38" s="21"/>
      <c r="AK38" s="593">
        <f>SUM(AK30:AK36)</f>
        <v>0</v>
      </c>
      <c r="AL38" s="594"/>
      <c r="AM38" s="594"/>
      <c r="AN38" s="594"/>
      <c r="AO38" s="595"/>
      <c r="AP38" s="19"/>
      <c r="AQ38" s="6"/>
    </row>
    <row r="39" spans="2:43" ht="14.45" customHeight="1">
      <c r="B39" s="5"/>
      <c r="AQ39" s="6"/>
    </row>
    <row r="40" spans="2:43" ht="13.5">
      <c r="B40" s="5"/>
      <c r="D40" s="4" t="s">
        <v>187</v>
      </c>
      <c r="AQ40" s="6"/>
    </row>
    <row r="41" spans="2:43" ht="27.75" customHeight="1">
      <c r="B41" s="5"/>
      <c r="D41" s="589" t="s">
        <v>188</v>
      </c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89"/>
      <c r="AM41" s="589"/>
      <c r="AN41" s="589"/>
      <c r="AO41" s="589"/>
      <c r="AP41" s="589"/>
      <c r="AQ41" s="6"/>
    </row>
    <row r="42" spans="2:43" ht="27.75" customHeight="1">
      <c r="B42" s="5"/>
      <c r="D42" s="589" t="s">
        <v>189</v>
      </c>
      <c r="E42" s="589"/>
      <c r="F42" s="589"/>
      <c r="G42" s="589"/>
      <c r="H42" s="589"/>
      <c r="I42" s="589"/>
      <c r="J42" s="589"/>
      <c r="K42" s="589"/>
      <c r="L42" s="589"/>
      <c r="M42" s="589"/>
      <c r="N42" s="589"/>
      <c r="O42" s="589"/>
      <c r="P42" s="589"/>
      <c r="Q42" s="589"/>
      <c r="R42" s="589"/>
      <c r="S42" s="589"/>
      <c r="T42" s="589"/>
      <c r="U42" s="589"/>
      <c r="V42" s="589"/>
      <c r="W42" s="589"/>
      <c r="X42" s="589"/>
      <c r="Y42" s="589"/>
      <c r="Z42" s="589"/>
      <c r="AA42" s="589"/>
      <c r="AB42" s="589"/>
      <c r="AC42" s="589"/>
      <c r="AD42" s="589"/>
      <c r="AE42" s="589"/>
      <c r="AF42" s="589"/>
      <c r="AG42" s="589"/>
      <c r="AH42" s="589"/>
      <c r="AI42" s="589"/>
      <c r="AJ42" s="589"/>
      <c r="AK42" s="589"/>
      <c r="AL42" s="589"/>
      <c r="AM42" s="589"/>
      <c r="AN42" s="589"/>
      <c r="AO42" s="589"/>
      <c r="AP42" s="589"/>
      <c r="AQ42" s="6"/>
    </row>
    <row r="43" spans="2:43" ht="27.75" customHeight="1">
      <c r="B43" s="5"/>
      <c r="D43" s="589"/>
      <c r="E43" s="589"/>
      <c r="F43" s="589"/>
      <c r="G43" s="589"/>
      <c r="H43" s="589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589"/>
      <c r="T43" s="589"/>
      <c r="U43" s="589"/>
      <c r="V43" s="589"/>
      <c r="W43" s="589"/>
      <c r="X43" s="589"/>
      <c r="Y43" s="589"/>
      <c r="Z43" s="589"/>
      <c r="AA43" s="589"/>
      <c r="AB43" s="589"/>
      <c r="AC43" s="589"/>
      <c r="AD43" s="589"/>
      <c r="AE43" s="589"/>
      <c r="AF43" s="589"/>
      <c r="AG43" s="589"/>
      <c r="AH43" s="589"/>
      <c r="AI43" s="589"/>
      <c r="AJ43" s="589"/>
      <c r="AK43" s="589"/>
      <c r="AL43" s="589"/>
      <c r="AM43" s="589"/>
      <c r="AN43" s="589"/>
      <c r="AO43" s="589"/>
      <c r="AP43" s="589"/>
      <c r="AQ43" s="6"/>
    </row>
    <row r="44" spans="2:43" ht="13.5">
      <c r="B44" s="5"/>
      <c r="AQ44" s="6"/>
    </row>
    <row r="45" spans="2:43" ht="13.5">
      <c r="B45" s="5"/>
      <c r="AQ45" s="6"/>
    </row>
    <row r="46" spans="2:43" ht="13.5">
      <c r="B46" s="5"/>
      <c r="AQ46" s="6"/>
    </row>
    <row r="47" spans="2:43" ht="13.5">
      <c r="B47" s="5"/>
      <c r="AQ47" s="6"/>
    </row>
    <row r="48" spans="2:43" ht="13.5">
      <c r="B48" s="5"/>
      <c r="AQ48" s="6"/>
    </row>
    <row r="49" spans="2:43" ht="13.5">
      <c r="B49" s="5"/>
      <c r="AQ49" s="6"/>
    </row>
    <row r="50" spans="2:43" ht="12.75">
      <c r="B50" s="5"/>
      <c r="D50" s="23" t="s">
        <v>27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5"/>
      <c r="AC50" s="23" t="s">
        <v>28</v>
      </c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5"/>
      <c r="AQ50" s="6"/>
    </row>
    <row r="51" spans="2:43" ht="13.5">
      <c r="B51" s="5"/>
      <c r="D51" s="26"/>
      <c r="Z51" s="27"/>
      <c r="AC51" s="26"/>
      <c r="AO51" s="27"/>
      <c r="AQ51" s="6"/>
    </row>
    <row r="52" spans="2:43" ht="13.5">
      <c r="B52" s="5"/>
      <c r="D52" s="26"/>
      <c r="Z52" s="27"/>
      <c r="AC52" s="26"/>
      <c r="AO52" s="27"/>
      <c r="AQ52" s="6"/>
    </row>
    <row r="53" spans="2:43" ht="13.5">
      <c r="B53" s="5"/>
      <c r="D53" s="26"/>
      <c r="Z53" s="27"/>
      <c r="AC53" s="26"/>
      <c r="AO53" s="27"/>
      <c r="AQ53" s="6"/>
    </row>
    <row r="54" spans="2:43" ht="13.5">
      <c r="B54" s="5"/>
      <c r="D54" s="26"/>
      <c r="Z54" s="27"/>
      <c r="AC54" s="26"/>
      <c r="AO54" s="27"/>
      <c r="AQ54" s="6"/>
    </row>
    <row r="55" spans="2:43" ht="13.5">
      <c r="B55" s="5"/>
      <c r="D55" s="26"/>
      <c r="Z55" s="27"/>
      <c r="AC55" s="26"/>
      <c r="AO55" s="27"/>
      <c r="AQ55" s="6"/>
    </row>
    <row r="56" spans="2:43" ht="13.5">
      <c r="B56" s="5"/>
      <c r="D56" s="26"/>
      <c r="Z56" s="27"/>
      <c r="AC56" s="26"/>
      <c r="AO56" s="27"/>
      <c r="AQ56" s="6"/>
    </row>
    <row r="57" spans="2:43" ht="13.5">
      <c r="B57" s="5"/>
      <c r="D57" s="26"/>
      <c r="Z57" s="27"/>
      <c r="AC57" s="26"/>
      <c r="AO57" s="27"/>
      <c r="AQ57" s="6"/>
    </row>
    <row r="58" spans="2:43" ht="13.5">
      <c r="B58" s="5"/>
      <c r="D58" s="26"/>
      <c r="Z58" s="27"/>
      <c r="AC58" s="26"/>
      <c r="AO58" s="27"/>
      <c r="AQ58" s="6"/>
    </row>
    <row r="59" spans="2:43" ht="12.75">
      <c r="B59" s="5"/>
      <c r="D59" s="28" t="s">
        <v>29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0" t="s">
        <v>30</v>
      </c>
      <c r="S59" s="29"/>
      <c r="T59" s="29"/>
      <c r="U59" s="29"/>
      <c r="V59" s="29"/>
      <c r="W59" s="29"/>
      <c r="X59" s="29"/>
      <c r="Y59" s="29"/>
      <c r="Z59" s="31"/>
      <c r="AC59" s="28" t="s">
        <v>29</v>
      </c>
      <c r="AD59" s="29"/>
      <c r="AE59" s="29"/>
      <c r="AF59" s="29"/>
      <c r="AG59" s="29"/>
      <c r="AH59" s="29"/>
      <c r="AI59" s="29"/>
      <c r="AJ59" s="29"/>
      <c r="AK59" s="29"/>
      <c r="AL59" s="29"/>
      <c r="AM59" s="30" t="s">
        <v>30</v>
      </c>
      <c r="AN59" s="29"/>
      <c r="AO59" s="31"/>
      <c r="AQ59" s="6"/>
    </row>
    <row r="60" spans="2:43" ht="13.5">
      <c r="B60" s="5"/>
      <c r="AQ60" s="6"/>
    </row>
    <row r="61" spans="2:43" ht="12.75">
      <c r="B61" s="5"/>
      <c r="D61" s="23" t="s">
        <v>31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5"/>
      <c r="AC61" s="23" t="s">
        <v>32</v>
      </c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5"/>
      <c r="AQ61" s="6"/>
    </row>
    <row r="62" spans="2:43" ht="13.5">
      <c r="B62" s="5"/>
      <c r="D62" s="26"/>
      <c r="Z62" s="27"/>
      <c r="AC62" s="26"/>
      <c r="AO62" s="27"/>
      <c r="AQ62" s="6"/>
    </row>
    <row r="63" spans="2:43" ht="13.5">
      <c r="B63" s="5"/>
      <c r="D63" s="26"/>
      <c r="Z63" s="27"/>
      <c r="AC63" s="26"/>
      <c r="AO63" s="27"/>
      <c r="AQ63" s="6"/>
    </row>
    <row r="64" spans="2:43" ht="13.5">
      <c r="B64" s="5"/>
      <c r="D64" s="26"/>
      <c r="Z64" s="27"/>
      <c r="AC64" s="26"/>
      <c r="AO64" s="27"/>
      <c r="AQ64" s="6"/>
    </row>
    <row r="65" spans="2:43" ht="13.5">
      <c r="B65" s="5"/>
      <c r="D65" s="26"/>
      <c r="Z65" s="27"/>
      <c r="AC65" s="26"/>
      <c r="AO65" s="27"/>
      <c r="AQ65" s="6"/>
    </row>
    <row r="66" spans="2:43" ht="13.5">
      <c r="B66" s="5"/>
      <c r="D66" s="26"/>
      <c r="Z66" s="27"/>
      <c r="AC66" s="26"/>
      <c r="AO66" s="27"/>
      <c r="AQ66" s="6"/>
    </row>
    <row r="67" spans="2:43" ht="13.5">
      <c r="B67" s="5"/>
      <c r="D67" s="26"/>
      <c r="Z67" s="27"/>
      <c r="AC67" s="26"/>
      <c r="AO67" s="27"/>
      <c r="AQ67" s="6"/>
    </row>
    <row r="68" spans="2:43" ht="13.5">
      <c r="B68" s="5"/>
      <c r="D68" s="26"/>
      <c r="Z68" s="27"/>
      <c r="AC68" s="26"/>
      <c r="AO68" s="27"/>
      <c r="AQ68" s="6"/>
    </row>
    <row r="69" spans="2:43" ht="13.5">
      <c r="B69" s="5"/>
      <c r="D69" s="26"/>
      <c r="Z69" s="27"/>
      <c r="AC69" s="26"/>
      <c r="AO69" s="27"/>
      <c r="AQ69" s="6"/>
    </row>
    <row r="70" spans="2:43" ht="12.75">
      <c r="B70" s="5"/>
      <c r="D70" s="28" t="s">
        <v>29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30" t="s">
        <v>30</v>
      </c>
      <c r="S70" s="29"/>
      <c r="T70" s="29"/>
      <c r="U70" s="29"/>
      <c r="V70" s="29"/>
      <c r="W70" s="29"/>
      <c r="X70" s="29"/>
      <c r="Y70" s="29"/>
      <c r="Z70" s="31"/>
      <c r="AC70" s="28" t="s">
        <v>29</v>
      </c>
      <c r="AD70" s="29"/>
      <c r="AE70" s="29"/>
      <c r="AF70" s="29"/>
      <c r="AG70" s="29"/>
      <c r="AH70" s="29"/>
      <c r="AI70" s="29"/>
      <c r="AJ70" s="29"/>
      <c r="AK70" s="29"/>
      <c r="AL70" s="29"/>
      <c r="AM70" s="30" t="s">
        <v>30</v>
      </c>
      <c r="AN70" s="29"/>
      <c r="AO70" s="31"/>
      <c r="AQ70" s="6"/>
    </row>
    <row r="71" spans="2:43" ht="6.95" customHeight="1">
      <c r="B71" s="5"/>
      <c r="AQ71" s="6"/>
    </row>
    <row r="72" spans="2:43" ht="6.95" customHeight="1"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4"/>
    </row>
    <row r="76" spans="2:43" ht="6.9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3"/>
    </row>
    <row r="77" spans="2:43" ht="36.95" customHeight="1">
      <c r="B77" s="5"/>
      <c r="C77" s="596" t="s">
        <v>33</v>
      </c>
      <c r="D77" s="597"/>
      <c r="E77" s="597"/>
      <c r="F77" s="597"/>
      <c r="G77" s="597"/>
      <c r="H77" s="597"/>
      <c r="I77" s="597"/>
      <c r="J77" s="597"/>
      <c r="K77" s="597"/>
      <c r="L77" s="597"/>
      <c r="M77" s="597"/>
      <c r="N77" s="597"/>
      <c r="O77" s="597"/>
      <c r="P77" s="597"/>
      <c r="Q77" s="597"/>
      <c r="R77" s="597"/>
      <c r="S77" s="597"/>
      <c r="T77" s="597"/>
      <c r="U77" s="597"/>
      <c r="V77" s="597"/>
      <c r="W77" s="597"/>
      <c r="X77" s="597"/>
      <c r="Y77" s="597"/>
      <c r="Z77" s="597"/>
      <c r="AA77" s="597"/>
      <c r="AB77" s="597"/>
      <c r="AC77" s="597"/>
      <c r="AD77" s="597"/>
      <c r="AE77" s="597"/>
      <c r="AF77" s="597"/>
      <c r="AG77" s="597"/>
      <c r="AH77" s="597"/>
      <c r="AI77" s="597"/>
      <c r="AJ77" s="597"/>
      <c r="AK77" s="597"/>
      <c r="AL77" s="597"/>
      <c r="AM77" s="597"/>
      <c r="AN77" s="597"/>
      <c r="AO77" s="597"/>
      <c r="AP77" s="597"/>
      <c r="AQ77" s="6"/>
    </row>
    <row r="78" spans="2:43" s="36" customFormat="1" ht="14.45" customHeight="1">
      <c r="B78" s="35"/>
      <c r="C78" s="7" t="s">
        <v>2</v>
      </c>
      <c r="I78" s="591">
        <f>K3</f>
        <v>2205</v>
      </c>
      <c r="J78" s="591"/>
      <c r="K78" s="591"/>
      <c r="L78" s="591"/>
      <c r="M78" s="591"/>
      <c r="N78" s="591"/>
      <c r="O78" s="591"/>
      <c r="P78" s="591"/>
      <c r="Q78" s="591"/>
      <c r="R78" s="591"/>
      <c r="S78" s="591"/>
      <c r="T78" s="591"/>
      <c r="AQ78" s="37"/>
    </row>
    <row r="79" spans="2:43" s="39" customFormat="1" ht="36.95" customHeight="1">
      <c r="B79" s="38"/>
      <c r="C79" s="8" t="s">
        <v>3</v>
      </c>
      <c r="I79" s="590" t="str">
        <f>K4</f>
        <v>Stavební úpravy, vestavba a přístavba stávajícího objektu</v>
      </c>
      <c r="J79" s="590"/>
      <c r="K79" s="590"/>
      <c r="L79" s="590"/>
      <c r="M79" s="590"/>
      <c r="N79" s="590"/>
      <c r="O79" s="590"/>
      <c r="P79" s="590"/>
      <c r="Q79" s="590"/>
      <c r="R79" s="590"/>
      <c r="S79" s="590"/>
      <c r="T79" s="590"/>
      <c r="U79" s="590"/>
      <c r="V79" s="590"/>
      <c r="W79" s="590"/>
      <c r="X79" s="590"/>
      <c r="Y79" s="590"/>
      <c r="Z79" s="590"/>
      <c r="AA79" s="590"/>
      <c r="AB79" s="590"/>
      <c r="AC79" s="590"/>
      <c r="AD79" s="590"/>
      <c r="AE79" s="590"/>
      <c r="AF79" s="590"/>
      <c r="AG79" s="590"/>
      <c r="AH79" s="590"/>
      <c r="AI79" s="590"/>
      <c r="AJ79" s="590"/>
      <c r="AK79" s="590"/>
      <c r="AL79" s="590"/>
      <c r="AM79" s="590"/>
      <c r="AN79" s="590"/>
      <c r="AO79" s="590"/>
      <c r="AQ79" s="40"/>
    </row>
    <row r="80" spans="2:43" ht="6.95" customHeight="1">
      <c r="B80" s="5"/>
      <c r="AQ80" s="6"/>
    </row>
    <row r="81" spans="2:43" ht="30.75" customHeight="1">
      <c r="B81" s="5"/>
      <c r="C81" s="7" t="s">
        <v>6</v>
      </c>
      <c r="I81" s="592" t="str">
        <f>IF(K6="","",K6)</f>
        <v>Mírové náměstí 23/12, Bílina - p.č. 124, 125/1, 125/2, 125/3, k.ú. Bílina (604208)</v>
      </c>
      <c r="J81" s="592"/>
      <c r="K81" s="592"/>
      <c r="L81" s="592"/>
      <c r="M81" s="592"/>
      <c r="N81" s="592"/>
      <c r="O81" s="592"/>
      <c r="P81" s="592"/>
      <c r="Q81" s="592"/>
      <c r="R81" s="592"/>
      <c r="S81" s="592"/>
      <c r="T81" s="592"/>
      <c r="U81" s="592"/>
      <c r="V81" s="592"/>
      <c r="W81" s="592"/>
      <c r="X81" s="592"/>
      <c r="Y81" s="592"/>
      <c r="Z81" s="592"/>
      <c r="AA81" s="592"/>
      <c r="AB81" s="592"/>
      <c r="AC81" s="592"/>
      <c r="AD81" s="592"/>
      <c r="AE81" s="592"/>
      <c r="AF81" s="592"/>
      <c r="AG81" s="592"/>
      <c r="AH81" s="592"/>
      <c r="AI81" s="7" t="s">
        <v>7</v>
      </c>
      <c r="AM81" s="616" t="str">
        <f>IF(AN6="","",AN6)</f>
        <v/>
      </c>
      <c r="AN81" s="616"/>
      <c r="AQ81" s="6"/>
    </row>
    <row r="82" spans="2:43" ht="6.95" customHeight="1">
      <c r="B82" s="5"/>
      <c r="AQ82" s="6"/>
    </row>
    <row r="83" spans="2:43" ht="12">
      <c r="B83" s="5"/>
      <c r="C83" s="7" t="s">
        <v>8</v>
      </c>
      <c r="I83" s="4" t="str">
        <f>K8</f>
        <v>město Bílina</v>
      </c>
      <c r="L83" s="36"/>
      <c r="AI83" s="7" t="s">
        <v>13</v>
      </c>
      <c r="AM83" s="617" t="str">
        <f>IF(E15="","",E15)</f>
        <v>Ing. arch. Bořek Peška</v>
      </c>
      <c r="AN83" s="617"/>
      <c r="AO83" s="617"/>
      <c r="AP83" s="617"/>
      <c r="AQ83" s="6"/>
    </row>
    <row r="84" spans="2:43" ht="12">
      <c r="B84" s="5"/>
      <c r="C84" s="7" t="s">
        <v>11</v>
      </c>
      <c r="I84" s="4">
        <f>K11</f>
        <v>0</v>
      </c>
      <c r="L84" s="36"/>
      <c r="AI84" s="7" t="s">
        <v>14</v>
      </c>
      <c r="AM84" s="617" t="str">
        <f>IF(E18="","",E18)</f>
        <v>Jakub Kulhavý</v>
      </c>
      <c r="AN84" s="617"/>
      <c r="AO84" s="617"/>
      <c r="AP84" s="617"/>
      <c r="AQ84" s="6"/>
    </row>
    <row r="85" spans="2:43" ht="10.9" customHeight="1">
      <c r="B85" s="5"/>
      <c r="AQ85" s="6"/>
    </row>
    <row r="86" spans="2:46" ht="29.25" customHeight="1">
      <c r="B86" s="5"/>
      <c r="C86" s="598" t="s">
        <v>34</v>
      </c>
      <c r="D86" s="599"/>
      <c r="E86" s="599"/>
      <c r="F86" s="599"/>
      <c r="G86" s="599"/>
      <c r="H86" s="41"/>
      <c r="I86" s="600" t="s">
        <v>35</v>
      </c>
      <c r="J86" s="599"/>
      <c r="K86" s="599"/>
      <c r="L86" s="599"/>
      <c r="M86" s="599"/>
      <c r="N86" s="599"/>
      <c r="O86" s="599"/>
      <c r="P86" s="599"/>
      <c r="Q86" s="599"/>
      <c r="R86" s="599"/>
      <c r="S86" s="599"/>
      <c r="T86" s="599"/>
      <c r="U86" s="599"/>
      <c r="V86" s="599"/>
      <c r="W86" s="599"/>
      <c r="X86" s="599"/>
      <c r="Y86" s="599"/>
      <c r="Z86" s="599"/>
      <c r="AA86" s="599"/>
      <c r="AB86" s="599"/>
      <c r="AC86" s="599"/>
      <c r="AD86" s="599"/>
      <c r="AE86" s="599"/>
      <c r="AF86" s="599"/>
      <c r="AG86" s="600" t="s">
        <v>36</v>
      </c>
      <c r="AH86" s="599"/>
      <c r="AI86" s="599"/>
      <c r="AJ86" s="599"/>
      <c r="AK86" s="599"/>
      <c r="AL86" s="599"/>
      <c r="AM86" s="599"/>
      <c r="AN86" s="600" t="s">
        <v>37</v>
      </c>
      <c r="AO86" s="599"/>
      <c r="AP86" s="618"/>
      <c r="AQ86" s="6"/>
      <c r="AS86" s="210" t="s">
        <v>205</v>
      </c>
      <c r="AT86" s="210" t="s">
        <v>206</v>
      </c>
    </row>
    <row r="87" spans="2:43" ht="10.9" customHeight="1">
      <c r="B87" s="5"/>
      <c r="AQ87" s="6"/>
    </row>
    <row r="88" spans="2:46" s="39" customFormat="1" ht="32.45" customHeight="1">
      <c r="B88" s="38"/>
      <c r="C88" s="42" t="s">
        <v>1952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601">
        <f>SUM(AG89:AM90)</f>
        <v>0</v>
      </c>
      <c r="AH88" s="601"/>
      <c r="AI88" s="601"/>
      <c r="AJ88" s="601"/>
      <c r="AK88" s="601"/>
      <c r="AL88" s="601"/>
      <c r="AM88" s="601"/>
      <c r="AN88" s="602">
        <f>SUM(AN89:AP90)</f>
        <v>0</v>
      </c>
      <c r="AO88" s="602"/>
      <c r="AP88" s="602"/>
      <c r="AQ88" s="40"/>
      <c r="AS88" s="202">
        <f>286.4+281.2+9.9+256.93</f>
        <v>834.4299999999998</v>
      </c>
      <c r="AT88" s="202">
        <f>AG88/$AS$88</f>
        <v>0</v>
      </c>
    </row>
    <row r="89" spans="1:46" s="48" customFormat="1" ht="12.75" customHeight="1">
      <c r="A89" s="44"/>
      <c r="B89" s="45"/>
      <c r="C89" s="46"/>
      <c r="D89" s="585" t="str">
        <f>'bourání a demolice'!F5</f>
        <v>Bourání a demolice</v>
      </c>
      <c r="E89" s="585"/>
      <c r="F89" s="585"/>
      <c r="G89" s="585"/>
      <c r="H89" s="585"/>
      <c r="I89" s="585"/>
      <c r="J89" s="585"/>
      <c r="K89" s="585"/>
      <c r="L89" s="585"/>
      <c r="M89" s="585"/>
      <c r="N89" s="585"/>
      <c r="O89" s="585"/>
      <c r="P89" s="585"/>
      <c r="Q89" s="585"/>
      <c r="R89" s="585"/>
      <c r="S89" s="585"/>
      <c r="T89" s="585"/>
      <c r="U89" s="585"/>
      <c r="V89" s="585"/>
      <c r="W89" s="585"/>
      <c r="X89" s="585"/>
      <c r="Y89" s="585"/>
      <c r="Z89" s="585"/>
      <c r="AA89" s="585"/>
      <c r="AB89" s="585"/>
      <c r="AC89" s="585"/>
      <c r="AD89" s="585"/>
      <c r="AE89" s="585"/>
      <c r="AF89" s="573"/>
      <c r="AG89" s="582">
        <f>'bourání a demolice'!M31</f>
        <v>0</v>
      </c>
      <c r="AH89" s="583"/>
      <c r="AI89" s="583"/>
      <c r="AJ89" s="583"/>
      <c r="AK89" s="583"/>
      <c r="AL89" s="583"/>
      <c r="AM89" s="584"/>
      <c r="AN89" s="582">
        <f>ROUND(AG89*(1+$L$32),2)</f>
        <v>0</v>
      </c>
      <c r="AO89" s="583"/>
      <c r="AP89" s="583"/>
      <c r="AQ89" s="47"/>
      <c r="AS89" s="204"/>
      <c r="AT89" s="201">
        <f>AG89/$AS$88</f>
        <v>0</v>
      </c>
    </row>
    <row r="90" spans="1:46" s="48" customFormat="1" ht="12.75" customHeight="1">
      <c r="A90" s="44"/>
      <c r="B90" s="45"/>
      <c r="C90" s="46"/>
      <c r="D90" s="585" t="str">
        <f>sanace!F5</f>
        <v>Sanace</v>
      </c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585"/>
      <c r="Q90" s="585"/>
      <c r="R90" s="585"/>
      <c r="S90" s="585"/>
      <c r="T90" s="585"/>
      <c r="U90" s="585"/>
      <c r="V90" s="585"/>
      <c r="W90" s="585"/>
      <c r="X90" s="585"/>
      <c r="Y90" s="585"/>
      <c r="Z90" s="585"/>
      <c r="AA90" s="585"/>
      <c r="AB90" s="585"/>
      <c r="AC90" s="585"/>
      <c r="AD90" s="585"/>
      <c r="AE90" s="585"/>
      <c r="AF90" s="573"/>
      <c r="AG90" s="582">
        <f>sanace!M31</f>
        <v>0</v>
      </c>
      <c r="AH90" s="583"/>
      <c r="AI90" s="583"/>
      <c r="AJ90" s="583"/>
      <c r="AK90" s="583"/>
      <c r="AL90" s="583"/>
      <c r="AM90" s="584"/>
      <c r="AN90" s="582">
        <f>ROUND(AG90*(1+$L$32),2)</f>
        <v>0</v>
      </c>
      <c r="AO90" s="583"/>
      <c r="AP90" s="583"/>
      <c r="AQ90" s="47"/>
      <c r="AS90" s="204"/>
      <c r="AT90" s="201">
        <f>AG90/$AS$88</f>
        <v>0</v>
      </c>
    </row>
    <row r="91" spans="2:43" ht="13.5">
      <c r="B91" s="5"/>
      <c r="AQ91" s="6"/>
    </row>
    <row r="92" spans="2:46" s="39" customFormat="1" ht="32.45" customHeight="1">
      <c r="B92" s="38"/>
      <c r="C92" s="42" t="s">
        <v>395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601">
        <f>SUM(AG93:AM95)</f>
        <v>0</v>
      </c>
      <c r="AH92" s="601"/>
      <c r="AI92" s="601"/>
      <c r="AJ92" s="601"/>
      <c r="AK92" s="601"/>
      <c r="AL92" s="601"/>
      <c r="AM92" s="601"/>
      <c r="AN92" s="602">
        <f>SUM(AN93:AP95)</f>
        <v>0</v>
      </c>
      <c r="AO92" s="602"/>
      <c r="AP92" s="602"/>
      <c r="AQ92" s="40"/>
      <c r="AS92" s="202">
        <f>AS88</f>
        <v>834.4299999999998</v>
      </c>
      <c r="AT92" s="202">
        <f>AG92/$AS$88</f>
        <v>0</v>
      </c>
    </row>
    <row r="93" spans="1:46" s="48" customFormat="1" ht="12.75" customHeight="1">
      <c r="A93" s="44"/>
      <c r="B93" s="45"/>
      <c r="C93" s="46"/>
      <c r="D93" s="585" t="str">
        <f>'stavební úpravy'!F5</f>
        <v>Stavební úpravy objektu</v>
      </c>
      <c r="E93" s="585"/>
      <c r="F93" s="585"/>
      <c r="G93" s="585"/>
      <c r="H93" s="585"/>
      <c r="I93" s="585"/>
      <c r="J93" s="585"/>
      <c r="K93" s="585"/>
      <c r="L93" s="585"/>
      <c r="M93" s="585"/>
      <c r="N93" s="585"/>
      <c r="O93" s="585"/>
      <c r="P93" s="585"/>
      <c r="Q93" s="585"/>
      <c r="R93" s="585"/>
      <c r="S93" s="585"/>
      <c r="T93" s="585"/>
      <c r="U93" s="585"/>
      <c r="V93" s="585"/>
      <c r="W93" s="585"/>
      <c r="X93" s="585"/>
      <c r="Y93" s="585"/>
      <c r="Z93" s="585"/>
      <c r="AA93" s="585"/>
      <c r="AB93" s="585"/>
      <c r="AC93" s="585"/>
      <c r="AD93" s="585"/>
      <c r="AE93" s="585"/>
      <c r="AF93" s="573"/>
      <c r="AG93" s="582">
        <f>'stavební úpravy'!M31</f>
        <v>0</v>
      </c>
      <c r="AH93" s="583"/>
      <c r="AI93" s="583"/>
      <c r="AJ93" s="583"/>
      <c r="AK93" s="583"/>
      <c r="AL93" s="583"/>
      <c r="AM93" s="584"/>
      <c r="AN93" s="582">
        <f>ROUND(AG93*(1+$L$32),2)</f>
        <v>0</v>
      </c>
      <c r="AO93" s="583"/>
      <c r="AP93" s="583"/>
      <c r="AQ93" s="47"/>
      <c r="AS93" s="204"/>
      <c r="AT93" s="201">
        <f>AG93/$AS$88</f>
        <v>0</v>
      </c>
    </row>
    <row r="94" spans="1:46" s="48" customFormat="1" ht="12.75" customHeight="1">
      <c r="A94" s="44"/>
      <c r="B94" s="45"/>
      <c r="C94" s="46"/>
      <c r="D94" s="585" t="str">
        <f>'venkovní plochy a nové objekty'!F5</f>
        <v>Venkovní objekty, plochy a oplocení</v>
      </c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585"/>
      <c r="Q94" s="585"/>
      <c r="R94" s="585"/>
      <c r="S94" s="585"/>
      <c r="T94" s="585"/>
      <c r="U94" s="585"/>
      <c r="V94" s="585"/>
      <c r="W94" s="585"/>
      <c r="X94" s="585"/>
      <c r="Y94" s="585"/>
      <c r="Z94" s="585"/>
      <c r="AA94" s="585"/>
      <c r="AB94" s="585"/>
      <c r="AC94" s="585"/>
      <c r="AD94" s="585"/>
      <c r="AE94" s="585"/>
      <c r="AF94" s="573"/>
      <c r="AG94" s="582">
        <f>'venkovní plochy a nové objekty'!M31</f>
        <v>0</v>
      </c>
      <c r="AH94" s="583"/>
      <c r="AI94" s="583"/>
      <c r="AJ94" s="583"/>
      <c r="AK94" s="583"/>
      <c r="AL94" s="583"/>
      <c r="AM94" s="584"/>
      <c r="AN94" s="582">
        <f>ROUND(AG94*(1+$L$32),2)</f>
        <v>0</v>
      </c>
      <c r="AO94" s="583"/>
      <c r="AP94" s="583"/>
      <c r="AQ94" s="47"/>
      <c r="AS94" s="204"/>
      <c r="AT94" s="201">
        <f>AG94/$AS$88</f>
        <v>0</v>
      </c>
    </row>
    <row r="95" spans="1:46" s="48" customFormat="1" ht="12.75" customHeight="1">
      <c r="A95" s="44"/>
      <c r="B95" s="45"/>
      <c r="C95" s="46"/>
      <c r="D95" s="585" t="str">
        <f>'výrobky a specifikace'!F5</f>
        <v>Výrobky a specifikace</v>
      </c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585"/>
      <c r="Q95" s="585"/>
      <c r="R95" s="585"/>
      <c r="S95" s="585"/>
      <c r="T95" s="585"/>
      <c r="U95" s="585"/>
      <c r="V95" s="585"/>
      <c r="W95" s="585"/>
      <c r="X95" s="585"/>
      <c r="Y95" s="585"/>
      <c r="Z95" s="585"/>
      <c r="AA95" s="585"/>
      <c r="AB95" s="585"/>
      <c r="AC95" s="585"/>
      <c r="AD95" s="585"/>
      <c r="AE95" s="585"/>
      <c r="AF95" s="573"/>
      <c r="AG95" s="582">
        <f>'výrobky a specifikace'!O31</f>
        <v>0</v>
      </c>
      <c r="AH95" s="583"/>
      <c r="AI95" s="583"/>
      <c r="AJ95" s="583"/>
      <c r="AK95" s="583"/>
      <c r="AL95" s="583"/>
      <c r="AM95" s="584"/>
      <c r="AN95" s="582">
        <f>ROUND(AG95*(1+$L$32),2)</f>
        <v>0</v>
      </c>
      <c r="AO95" s="583"/>
      <c r="AP95" s="583"/>
      <c r="AQ95" s="47"/>
      <c r="AS95" s="204"/>
      <c r="AT95" s="201">
        <f>AG95/$AS$88</f>
        <v>0</v>
      </c>
    </row>
    <row r="96" spans="2:43" ht="13.5">
      <c r="B96" s="5"/>
      <c r="AQ96" s="6"/>
    </row>
    <row r="97" spans="2:46" ht="30" customHeight="1">
      <c r="B97" s="5"/>
      <c r="C97" s="42" t="s">
        <v>103</v>
      </c>
      <c r="AG97" s="602">
        <f>SUM(AG98:AM104)</f>
        <v>0</v>
      </c>
      <c r="AH97" s="602"/>
      <c r="AI97" s="602"/>
      <c r="AJ97" s="602"/>
      <c r="AK97" s="602"/>
      <c r="AL97" s="602"/>
      <c r="AM97" s="602"/>
      <c r="AN97" s="602">
        <f>SUM(AN98:AP104)</f>
        <v>0</v>
      </c>
      <c r="AO97" s="602"/>
      <c r="AP97" s="602"/>
      <c r="AQ97" s="6"/>
      <c r="AS97" s="202">
        <f>AS88</f>
        <v>834.4299999999998</v>
      </c>
      <c r="AT97" s="202">
        <f>AG97/$AS$97</f>
        <v>0</v>
      </c>
    </row>
    <row r="98" spans="1:46" s="48" customFormat="1" ht="12.75" customHeight="1">
      <c r="A98" s="44"/>
      <c r="B98" s="45"/>
      <c r="C98" s="46"/>
      <c r="D98" s="585" t="str">
        <f>'ZTI vodovod'!A5</f>
        <v>D.1.4.1 - ZTI vodovod</v>
      </c>
      <c r="E98" s="585"/>
      <c r="F98" s="585"/>
      <c r="G98" s="585"/>
      <c r="H98" s="585"/>
      <c r="I98" s="585"/>
      <c r="J98" s="585"/>
      <c r="K98" s="585"/>
      <c r="L98" s="585"/>
      <c r="M98" s="585"/>
      <c r="N98" s="585"/>
      <c r="O98" s="585"/>
      <c r="P98" s="585"/>
      <c r="Q98" s="585"/>
      <c r="R98" s="585"/>
      <c r="S98" s="585"/>
      <c r="T98" s="585"/>
      <c r="U98" s="585"/>
      <c r="V98" s="585"/>
      <c r="W98" s="585"/>
      <c r="X98" s="585"/>
      <c r="Y98" s="585"/>
      <c r="Z98" s="585"/>
      <c r="AA98" s="585"/>
      <c r="AB98" s="585"/>
      <c r="AC98" s="585"/>
      <c r="AD98" s="585"/>
      <c r="AE98" s="585"/>
      <c r="AF98" s="573"/>
      <c r="AG98" s="582">
        <f>'ZTI vodovod'!E104</f>
        <v>0</v>
      </c>
      <c r="AH98" s="583"/>
      <c r="AI98" s="583"/>
      <c r="AJ98" s="583"/>
      <c r="AK98" s="583"/>
      <c r="AL98" s="583"/>
      <c r="AM98" s="584"/>
      <c r="AN98" s="582">
        <f aca="true" t="shared" si="0" ref="AN98:AN104">ROUND(AG98*(1+$L$32),2)</f>
        <v>0</v>
      </c>
      <c r="AO98" s="583"/>
      <c r="AP98" s="583"/>
      <c r="AQ98" s="47"/>
      <c r="AS98" s="204"/>
      <c r="AT98" s="201">
        <f aca="true" t="shared" si="1" ref="AT98:AT103">AG98/$AS$88</f>
        <v>0</v>
      </c>
    </row>
    <row r="99" spans="1:46" s="48" customFormat="1" ht="12.75" customHeight="1">
      <c r="A99" s="44"/>
      <c r="B99" s="45"/>
      <c r="C99" s="46"/>
      <c r="D99" s="585" t="str">
        <f>'ZTI kanalizace'!A5</f>
        <v>D.1.4.1 - ZTI kanalizace</v>
      </c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585"/>
      <c r="Q99" s="585"/>
      <c r="R99" s="585"/>
      <c r="S99" s="585"/>
      <c r="T99" s="585"/>
      <c r="U99" s="585"/>
      <c r="V99" s="585"/>
      <c r="W99" s="585"/>
      <c r="X99" s="585"/>
      <c r="Y99" s="585"/>
      <c r="Z99" s="585"/>
      <c r="AA99" s="585"/>
      <c r="AB99" s="585"/>
      <c r="AC99" s="585"/>
      <c r="AD99" s="585"/>
      <c r="AE99" s="585"/>
      <c r="AF99" s="573"/>
      <c r="AG99" s="582">
        <f>'ZTI kanalizace'!E142</f>
        <v>0</v>
      </c>
      <c r="AH99" s="583"/>
      <c r="AI99" s="583"/>
      <c r="AJ99" s="583"/>
      <c r="AK99" s="583"/>
      <c r="AL99" s="583"/>
      <c r="AM99" s="584"/>
      <c r="AN99" s="582">
        <f t="shared" si="0"/>
        <v>0</v>
      </c>
      <c r="AO99" s="583"/>
      <c r="AP99" s="583"/>
      <c r="AQ99" s="47"/>
      <c r="AS99" s="204"/>
      <c r="AT99" s="201">
        <f>AG99/$AS$88</f>
        <v>0</v>
      </c>
    </row>
    <row r="100" spans="1:46" s="48" customFormat="1" ht="12.75" customHeight="1">
      <c r="A100" s="44"/>
      <c r="B100" s="45"/>
      <c r="C100" s="46"/>
      <c r="D100" s="585" t="str">
        <f>'ZTI plynovod'!A5</f>
        <v>D.1.4.2 - plynovod</v>
      </c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585"/>
      <c r="Q100" s="585"/>
      <c r="R100" s="585"/>
      <c r="S100" s="585"/>
      <c r="T100" s="585"/>
      <c r="U100" s="585"/>
      <c r="V100" s="585"/>
      <c r="W100" s="585"/>
      <c r="X100" s="585"/>
      <c r="Y100" s="585"/>
      <c r="Z100" s="585"/>
      <c r="AA100" s="585"/>
      <c r="AB100" s="585"/>
      <c r="AC100" s="585"/>
      <c r="AD100" s="585"/>
      <c r="AE100" s="585"/>
      <c r="AF100" s="573"/>
      <c r="AG100" s="582">
        <f>'ZTI plynovod'!E43</f>
        <v>0</v>
      </c>
      <c r="AH100" s="583"/>
      <c r="AI100" s="583"/>
      <c r="AJ100" s="583"/>
      <c r="AK100" s="583"/>
      <c r="AL100" s="583"/>
      <c r="AM100" s="584"/>
      <c r="AN100" s="582">
        <f t="shared" si="0"/>
        <v>0</v>
      </c>
      <c r="AO100" s="583"/>
      <c r="AP100" s="583"/>
      <c r="AQ100" s="47"/>
      <c r="AS100" s="204"/>
      <c r="AT100" s="201">
        <f>AG100/$AS$88</f>
        <v>0</v>
      </c>
    </row>
    <row r="101" spans="1:46" s="48" customFormat="1" ht="12.75" customHeight="1">
      <c r="A101" s="44"/>
      <c r="B101" s="45"/>
      <c r="C101" s="46"/>
      <c r="D101" s="585" t="str">
        <f>VZT!A5</f>
        <v>D.1.4.3  - VZT</v>
      </c>
      <c r="E101" s="585"/>
      <c r="F101" s="585"/>
      <c r="G101" s="585"/>
      <c r="H101" s="585"/>
      <c r="I101" s="585"/>
      <c r="J101" s="585"/>
      <c r="K101" s="585"/>
      <c r="L101" s="585"/>
      <c r="M101" s="585"/>
      <c r="N101" s="585"/>
      <c r="O101" s="585"/>
      <c r="P101" s="585"/>
      <c r="Q101" s="585"/>
      <c r="R101" s="585"/>
      <c r="S101" s="585"/>
      <c r="T101" s="585"/>
      <c r="U101" s="585"/>
      <c r="V101" s="585"/>
      <c r="W101" s="585"/>
      <c r="X101" s="585"/>
      <c r="Y101" s="585"/>
      <c r="Z101" s="585"/>
      <c r="AA101" s="585"/>
      <c r="AB101" s="585"/>
      <c r="AC101" s="585"/>
      <c r="AD101" s="585"/>
      <c r="AE101" s="585"/>
      <c r="AF101" s="573"/>
      <c r="AG101" s="582">
        <f>VZT!K380</f>
        <v>0</v>
      </c>
      <c r="AH101" s="583"/>
      <c r="AI101" s="583"/>
      <c r="AJ101" s="583"/>
      <c r="AK101" s="583"/>
      <c r="AL101" s="583"/>
      <c r="AM101" s="584"/>
      <c r="AN101" s="582">
        <f t="shared" si="0"/>
        <v>0</v>
      </c>
      <c r="AO101" s="583"/>
      <c r="AP101" s="583"/>
      <c r="AQ101" s="47"/>
      <c r="AS101" s="204"/>
      <c r="AT101" s="201">
        <f>AG101/$AS$88</f>
        <v>0</v>
      </c>
    </row>
    <row r="102" spans="1:46" s="48" customFormat="1" ht="12.75" customHeight="1">
      <c r="A102" s="44"/>
      <c r="B102" s="45"/>
      <c r="C102" s="46"/>
      <c r="D102" s="585" t="str">
        <f>'Ústřední vytápění'!A5</f>
        <v>D.1.4.4  - Ústřední vytápění</v>
      </c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585"/>
      <c r="Q102" s="585"/>
      <c r="R102" s="585"/>
      <c r="S102" s="585"/>
      <c r="T102" s="585"/>
      <c r="U102" s="585"/>
      <c r="V102" s="585"/>
      <c r="W102" s="585"/>
      <c r="X102" s="585"/>
      <c r="Y102" s="585"/>
      <c r="Z102" s="585"/>
      <c r="AA102" s="585"/>
      <c r="AB102" s="585"/>
      <c r="AC102" s="585"/>
      <c r="AD102" s="585"/>
      <c r="AE102" s="585"/>
      <c r="AF102" s="573"/>
      <c r="AG102" s="582">
        <f>'Ústřední vytápění'!E195</f>
        <v>0</v>
      </c>
      <c r="AH102" s="583"/>
      <c r="AI102" s="583"/>
      <c r="AJ102" s="583"/>
      <c r="AK102" s="583"/>
      <c r="AL102" s="583"/>
      <c r="AM102" s="584"/>
      <c r="AN102" s="582">
        <f t="shared" si="0"/>
        <v>0</v>
      </c>
      <c r="AO102" s="583"/>
      <c r="AP102" s="583"/>
      <c r="AQ102" s="47"/>
      <c r="AS102" s="204"/>
      <c r="AT102" s="201">
        <f t="shared" si="1"/>
        <v>0</v>
      </c>
    </row>
    <row r="103" spans="1:46" s="48" customFormat="1" ht="12.75" customHeight="1">
      <c r="A103" s="44"/>
      <c r="B103" s="45"/>
      <c r="C103" s="46"/>
      <c r="D103" s="585" t="str">
        <f>'elektro SIL+SLA'!B5</f>
        <v>D.1.6.1 - elektro SIL+SLA</v>
      </c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585"/>
      <c r="Q103" s="585"/>
      <c r="R103" s="585"/>
      <c r="S103" s="585"/>
      <c r="T103" s="585"/>
      <c r="U103" s="585"/>
      <c r="V103" s="585"/>
      <c r="W103" s="585"/>
      <c r="X103" s="585"/>
      <c r="Y103" s="585"/>
      <c r="Z103" s="585"/>
      <c r="AA103" s="585"/>
      <c r="AB103" s="585"/>
      <c r="AC103" s="585"/>
      <c r="AD103" s="585"/>
      <c r="AE103" s="585"/>
      <c r="AF103" s="573"/>
      <c r="AG103" s="582">
        <f>'elektro SIL+SLA'!E223</f>
        <v>0</v>
      </c>
      <c r="AH103" s="583"/>
      <c r="AI103" s="583"/>
      <c r="AJ103" s="583"/>
      <c r="AK103" s="583"/>
      <c r="AL103" s="583"/>
      <c r="AM103" s="584"/>
      <c r="AN103" s="582">
        <f t="shared" si="0"/>
        <v>0</v>
      </c>
      <c r="AO103" s="583"/>
      <c r="AP103" s="583"/>
      <c r="AQ103" s="47"/>
      <c r="AS103" s="204"/>
      <c r="AT103" s="201">
        <f t="shared" si="1"/>
        <v>0</v>
      </c>
    </row>
    <row r="104" spans="1:46" s="48" customFormat="1" ht="12.75" customHeight="1">
      <c r="A104" s="44"/>
      <c r="B104" s="45"/>
      <c r="C104" s="46"/>
      <c r="D104" s="585" t="str">
        <f>'EZS+CCTV'!B5</f>
        <v>D.1.6.2 - EZS+CCTV</v>
      </c>
      <c r="E104" s="585"/>
      <c r="F104" s="585"/>
      <c r="G104" s="585"/>
      <c r="H104" s="585"/>
      <c r="I104" s="585"/>
      <c r="J104" s="585"/>
      <c r="K104" s="585"/>
      <c r="L104" s="585"/>
      <c r="M104" s="585"/>
      <c r="N104" s="585"/>
      <c r="O104" s="585"/>
      <c r="P104" s="585"/>
      <c r="Q104" s="585"/>
      <c r="R104" s="585"/>
      <c r="S104" s="585"/>
      <c r="T104" s="585"/>
      <c r="U104" s="585"/>
      <c r="V104" s="585"/>
      <c r="W104" s="585"/>
      <c r="X104" s="585"/>
      <c r="Y104" s="585"/>
      <c r="Z104" s="585"/>
      <c r="AA104" s="585"/>
      <c r="AB104" s="585"/>
      <c r="AC104" s="585"/>
      <c r="AD104" s="585"/>
      <c r="AE104" s="585"/>
      <c r="AF104" s="573"/>
      <c r="AG104" s="582">
        <f>'EZS+CCTV'!E37</f>
        <v>0</v>
      </c>
      <c r="AH104" s="583"/>
      <c r="AI104" s="583"/>
      <c r="AJ104" s="583"/>
      <c r="AK104" s="583"/>
      <c r="AL104" s="583"/>
      <c r="AM104" s="584"/>
      <c r="AN104" s="582">
        <f t="shared" si="0"/>
        <v>0</v>
      </c>
      <c r="AO104" s="583"/>
      <c r="AP104" s="583"/>
      <c r="AQ104" s="47"/>
      <c r="AS104" s="204"/>
      <c r="AT104" s="201">
        <f>AG104/$AS$88</f>
        <v>0</v>
      </c>
    </row>
    <row r="105" spans="2:43" ht="13.5">
      <c r="B105" s="5"/>
      <c r="AQ105" s="6"/>
    </row>
    <row r="106" spans="2:46" ht="30" customHeight="1">
      <c r="B106" s="5"/>
      <c r="C106" s="42" t="s">
        <v>263</v>
      </c>
      <c r="AG106" s="602">
        <f>SUM(AI107:AM114)</f>
        <v>0</v>
      </c>
      <c r="AH106" s="602"/>
      <c r="AI106" s="602"/>
      <c r="AJ106" s="602"/>
      <c r="AK106" s="602"/>
      <c r="AL106" s="602"/>
      <c r="AM106" s="602"/>
      <c r="AN106" s="602">
        <f>SUM(AN107:AP114)</f>
        <v>0</v>
      </c>
      <c r="AO106" s="602"/>
      <c r="AP106" s="602"/>
      <c r="AQ106" s="6"/>
      <c r="AS106" s="202"/>
      <c r="AT106" s="202">
        <f>AG106/$AS$97</f>
        <v>0</v>
      </c>
    </row>
    <row r="107" spans="1:46" s="48" customFormat="1" ht="12.75">
      <c r="A107" s="44"/>
      <c r="B107" s="45"/>
      <c r="C107" s="46"/>
      <c r="D107" s="573" t="s">
        <v>122</v>
      </c>
      <c r="E107" s="574"/>
      <c r="F107" s="574"/>
      <c r="G107" s="574"/>
      <c r="H107" s="574"/>
      <c r="I107" s="574"/>
      <c r="J107" s="574"/>
      <c r="K107" s="574"/>
      <c r="L107" s="574"/>
      <c r="M107" s="574"/>
      <c r="N107" s="574"/>
      <c r="O107" s="574"/>
      <c r="P107" s="574"/>
      <c r="Q107" s="574"/>
      <c r="R107" s="574"/>
      <c r="S107" s="574"/>
      <c r="T107" s="574"/>
      <c r="U107" s="575" t="s">
        <v>72</v>
      </c>
      <c r="V107" s="575"/>
      <c r="W107" s="575"/>
      <c r="X107" s="576"/>
      <c r="Y107" s="576"/>
      <c r="Z107" s="576"/>
      <c r="AA107" s="577">
        <f>AG88+AG92</f>
        <v>0</v>
      </c>
      <c r="AB107" s="577"/>
      <c r="AC107" s="577"/>
      <c r="AD107" s="577"/>
      <c r="AE107" s="577"/>
      <c r="AF107" s="577"/>
      <c r="AG107" s="577"/>
      <c r="AH107" s="577"/>
      <c r="AI107" s="578">
        <f aca="true" t="shared" si="2" ref="AI107:AI114">AA107*X107</f>
        <v>0</v>
      </c>
      <c r="AJ107" s="578"/>
      <c r="AK107" s="578"/>
      <c r="AL107" s="578"/>
      <c r="AM107" s="578"/>
      <c r="AN107" s="579">
        <f>ROUND(AI107*(1+$L$32),2)</f>
        <v>0</v>
      </c>
      <c r="AO107" s="580"/>
      <c r="AP107" s="581"/>
      <c r="AQ107" s="47"/>
      <c r="AS107" s="211"/>
      <c r="AT107" s="200">
        <f>AI107/$AS$88</f>
        <v>0</v>
      </c>
    </row>
    <row r="108" spans="1:46" s="48" customFormat="1" ht="28.5" customHeight="1">
      <c r="A108" s="44"/>
      <c r="B108" s="45"/>
      <c r="C108" s="46"/>
      <c r="D108" s="573" t="s">
        <v>123</v>
      </c>
      <c r="E108" s="574"/>
      <c r="F108" s="574"/>
      <c r="G108" s="574"/>
      <c r="H108" s="574"/>
      <c r="I108" s="574"/>
      <c r="J108" s="574"/>
      <c r="K108" s="574"/>
      <c r="L108" s="574"/>
      <c r="M108" s="574"/>
      <c r="N108" s="574"/>
      <c r="O108" s="574"/>
      <c r="P108" s="574"/>
      <c r="Q108" s="574"/>
      <c r="R108" s="574"/>
      <c r="S108" s="574"/>
      <c r="T108" s="574"/>
      <c r="U108" s="575" t="s">
        <v>72</v>
      </c>
      <c r="V108" s="575"/>
      <c r="W108" s="575"/>
      <c r="X108" s="576"/>
      <c r="Y108" s="576"/>
      <c r="Z108" s="576"/>
      <c r="AA108" s="577">
        <f>AA107</f>
        <v>0</v>
      </c>
      <c r="AB108" s="577"/>
      <c r="AC108" s="577"/>
      <c r="AD108" s="577"/>
      <c r="AE108" s="577"/>
      <c r="AF108" s="577"/>
      <c r="AG108" s="577"/>
      <c r="AH108" s="577"/>
      <c r="AI108" s="578">
        <f t="shared" si="2"/>
        <v>0</v>
      </c>
      <c r="AJ108" s="578"/>
      <c r="AK108" s="578"/>
      <c r="AL108" s="578"/>
      <c r="AM108" s="578"/>
      <c r="AN108" s="579">
        <f aca="true" t="shared" si="3" ref="AN108:AN114">ROUND(AI108*(1+$L$32),2)</f>
        <v>0</v>
      </c>
      <c r="AO108" s="580"/>
      <c r="AP108" s="581"/>
      <c r="AQ108" s="47"/>
      <c r="AS108" s="211"/>
      <c r="AT108" s="200">
        <f aca="true" t="shared" si="4" ref="AT108:AT113">AI108/$AS$88</f>
        <v>0</v>
      </c>
    </row>
    <row r="109" spans="1:46" s="48" customFormat="1" ht="28.5" customHeight="1">
      <c r="A109" s="44"/>
      <c r="B109" s="45"/>
      <c r="C109" s="46"/>
      <c r="D109" s="573" t="s">
        <v>186</v>
      </c>
      <c r="E109" s="574"/>
      <c r="F109" s="574"/>
      <c r="G109" s="574"/>
      <c r="H109" s="574"/>
      <c r="I109" s="574"/>
      <c r="J109" s="574"/>
      <c r="K109" s="574"/>
      <c r="L109" s="574"/>
      <c r="M109" s="574"/>
      <c r="N109" s="574"/>
      <c r="O109" s="574"/>
      <c r="P109" s="574"/>
      <c r="Q109" s="574"/>
      <c r="R109" s="574"/>
      <c r="S109" s="574"/>
      <c r="T109" s="574"/>
      <c r="U109" s="575" t="s">
        <v>72</v>
      </c>
      <c r="V109" s="575"/>
      <c r="W109" s="575"/>
      <c r="X109" s="576"/>
      <c r="Y109" s="576"/>
      <c r="Z109" s="576"/>
      <c r="AA109" s="577">
        <f>AA107</f>
        <v>0</v>
      </c>
      <c r="AB109" s="577"/>
      <c r="AC109" s="577"/>
      <c r="AD109" s="577"/>
      <c r="AE109" s="577"/>
      <c r="AF109" s="577"/>
      <c r="AG109" s="577"/>
      <c r="AH109" s="577"/>
      <c r="AI109" s="578">
        <f t="shared" si="2"/>
        <v>0</v>
      </c>
      <c r="AJ109" s="578"/>
      <c r="AK109" s="578"/>
      <c r="AL109" s="578"/>
      <c r="AM109" s="578"/>
      <c r="AN109" s="579">
        <f t="shared" si="3"/>
        <v>0</v>
      </c>
      <c r="AO109" s="580"/>
      <c r="AP109" s="581"/>
      <c r="AQ109" s="47"/>
      <c r="AS109" s="211"/>
      <c r="AT109" s="200">
        <f t="shared" si="4"/>
        <v>0</v>
      </c>
    </row>
    <row r="110" spans="1:46" s="48" customFormat="1" ht="12.75">
      <c r="A110" s="44"/>
      <c r="B110" s="45"/>
      <c r="C110" s="46"/>
      <c r="D110" s="573" t="s">
        <v>2338</v>
      </c>
      <c r="E110" s="574"/>
      <c r="F110" s="574"/>
      <c r="G110" s="574"/>
      <c r="H110" s="574"/>
      <c r="I110" s="574"/>
      <c r="J110" s="574"/>
      <c r="K110" s="574"/>
      <c r="L110" s="574"/>
      <c r="M110" s="574"/>
      <c r="N110" s="574"/>
      <c r="O110" s="574"/>
      <c r="P110" s="574"/>
      <c r="Q110" s="574"/>
      <c r="R110" s="574"/>
      <c r="S110" s="574"/>
      <c r="T110" s="574"/>
      <c r="U110" s="575" t="s">
        <v>72</v>
      </c>
      <c r="V110" s="575"/>
      <c r="W110" s="575"/>
      <c r="X110" s="576"/>
      <c r="Y110" s="576"/>
      <c r="Z110" s="576"/>
      <c r="AA110" s="577">
        <f>AA107</f>
        <v>0</v>
      </c>
      <c r="AB110" s="577"/>
      <c r="AC110" s="577"/>
      <c r="AD110" s="577"/>
      <c r="AE110" s="577"/>
      <c r="AF110" s="577"/>
      <c r="AG110" s="577"/>
      <c r="AH110" s="577"/>
      <c r="AI110" s="578">
        <f t="shared" si="2"/>
        <v>0</v>
      </c>
      <c r="AJ110" s="578"/>
      <c r="AK110" s="578"/>
      <c r="AL110" s="578"/>
      <c r="AM110" s="578"/>
      <c r="AN110" s="579">
        <f t="shared" si="3"/>
        <v>0</v>
      </c>
      <c r="AO110" s="580"/>
      <c r="AP110" s="581"/>
      <c r="AQ110" s="47"/>
      <c r="AS110" s="211"/>
      <c r="AT110" s="200">
        <f t="shared" si="4"/>
        <v>0</v>
      </c>
    </row>
    <row r="111" spans="1:46" s="48" customFormat="1" ht="12.75">
      <c r="A111" s="44"/>
      <c r="B111" s="45"/>
      <c r="C111" s="46"/>
      <c r="D111" s="573" t="s">
        <v>2339</v>
      </c>
      <c r="E111" s="574"/>
      <c r="F111" s="574"/>
      <c r="G111" s="574"/>
      <c r="H111" s="574"/>
      <c r="I111" s="574"/>
      <c r="J111" s="574"/>
      <c r="K111" s="574"/>
      <c r="L111" s="574"/>
      <c r="M111" s="574"/>
      <c r="N111" s="574"/>
      <c r="O111" s="574"/>
      <c r="P111" s="574"/>
      <c r="Q111" s="574"/>
      <c r="R111" s="574"/>
      <c r="S111" s="574"/>
      <c r="T111" s="574"/>
      <c r="U111" s="575" t="s">
        <v>72</v>
      </c>
      <c r="V111" s="575"/>
      <c r="W111" s="575"/>
      <c r="X111" s="576"/>
      <c r="Y111" s="576"/>
      <c r="Z111" s="576"/>
      <c r="AA111" s="577">
        <f>AA107</f>
        <v>0</v>
      </c>
      <c r="AB111" s="577"/>
      <c r="AC111" s="577"/>
      <c r="AD111" s="577"/>
      <c r="AE111" s="577"/>
      <c r="AF111" s="577"/>
      <c r="AG111" s="577"/>
      <c r="AH111" s="577"/>
      <c r="AI111" s="578">
        <f aca="true" t="shared" si="5" ref="AI111:AI112">AA111*X111</f>
        <v>0</v>
      </c>
      <c r="AJ111" s="578"/>
      <c r="AK111" s="578"/>
      <c r="AL111" s="578"/>
      <c r="AM111" s="578"/>
      <c r="AN111" s="579">
        <f aca="true" t="shared" si="6" ref="AN111:AN112">ROUND(AI111*(1+$L$32),2)</f>
        <v>0</v>
      </c>
      <c r="AO111" s="580"/>
      <c r="AP111" s="581"/>
      <c r="AQ111" s="47"/>
      <c r="AS111" s="211"/>
      <c r="AT111" s="200">
        <f aca="true" t="shared" si="7" ref="AT111:AT112">AI111/$AS$88</f>
        <v>0</v>
      </c>
    </row>
    <row r="112" spans="1:46" s="48" customFormat="1" ht="12.75">
      <c r="A112" s="44"/>
      <c r="B112" s="45"/>
      <c r="C112" s="46"/>
      <c r="D112" s="573" t="s">
        <v>2340</v>
      </c>
      <c r="E112" s="574"/>
      <c r="F112" s="574"/>
      <c r="G112" s="574"/>
      <c r="H112" s="574"/>
      <c r="I112" s="574"/>
      <c r="J112" s="574"/>
      <c r="K112" s="574"/>
      <c r="L112" s="574"/>
      <c r="M112" s="574"/>
      <c r="N112" s="574"/>
      <c r="O112" s="574"/>
      <c r="P112" s="574"/>
      <c r="Q112" s="574"/>
      <c r="R112" s="574"/>
      <c r="S112" s="574"/>
      <c r="T112" s="574"/>
      <c r="U112" s="575" t="s">
        <v>72</v>
      </c>
      <c r="V112" s="575"/>
      <c r="W112" s="575"/>
      <c r="X112" s="576"/>
      <c r="Y112" s="576"/>
      <c r="Z112" s="576"/>
      <c r="AA112" s="577">
        <f>AA107</f>
        <v>0</v>
      </c>
      <c r="AB112" s="577"/>
      <c r="AC112" s="577"/>
      <c r="AD112" s="577"/>
      <c r="AE112" s="577"/>
      <c r="AF112" s="577"/>
      <c r="AG112" s="577"/>
      <c r="AH112" s="577"/>
      <c r="AI112" s="578">
        <f t="shared" si="5"/>
        <v>0</v>
      </c>
      <c r="AJ112" s="578"/>
      <c r="AK112" s="578"/>
      <c r="AL112" s="578"/>
      <c r="AM112" s="578"/>
      <c r="AN112" s="579">
        <f t="shared" si="6"/>
        <v>0</v>
      </c>
      <c r="AO112" s="580"/>
      <c r="AP112" s="581"/>
      <c r="AQ112" s="47"/>
      <c r="AS112" s="211"/>
      <c r="AT112" s="200">
        <f t="shared" si="7"/>
        <v>0</v>
      </c>
    </row>
    <row r="113" spans="1:46" s="48" customFormat="1" ht="39.75" customHeight="1">
      <c r="A113" s="44"/>
      <c r="B113" s="45"/>
      <c r="C113" s="46"/>
      <c r="D113" s="573" t="s">
        <v>124</v>
      </c>
      <c r="E113" s="574"/>
      <c r="F113" s="574"/>
      <c r="G113" s="574"/>
      <c r="H113" s="574"/>
      <c r="I113" s="574"/>
      <c r="J113" s="574"/>
      <c r="K113" s="574"/>
      <c r="L113" s="574"/>
      <c r="M113" s="574"/>
      <c r="N113" s="574"/>
      <c r="O113" s="574"/>
      <c r="P113" s="574"/>
      <c r="Q113" s="574"/>
      <c r="R113" s="574"/>
      <c r="S113" s="574"/>
      <c r="T113" s="574"/>
      <c r="U113" s="575" t="s">
        <v>72</v>
      </c>
      <c r="V113" s="575"/>
      <c r="W113" s="575"/>
      <c r="X113" s="576"/>
      <c r="Y113" s="576"/>
      <c r="Z113" s="576"/>
      <c r="AA113" s="577">
        <f>AA107</f>
        <v>0</v>
      </c>
      <c r="AB113" s="577"/>
      <c r="AC113" s="577"/>
      <c r="AD113" s="577"/>
      <c r="AE113" s="577"/>
      <c r="AF113" s="577"/>
      <c r="AG113" s="577"/>
      <c r="AH113" s="577"/>
      <c r="AI113" s="578">
        <f t="shared" si="2"/>
        <v>0</v>
      </c>
      <c r="AJ113" s="578"/>
      <c r="AK113" s="578"/>
      <c r="AL113" s="578"/>
      <c r="AM113" s="578"/>
      <c r="AN113" s="579">
        <f t="shared" si="3"/>
        <v>0</v>
      </c>
      <c r="AO113" s="580"/>
      <c r="AP113" s="581"/>
      <c r="AQ113" s="47"/>
      <c r="AS113" s="211"/>
      <c r="AT113" s="200">
        <f t="shared" si="4"/>
        <v>0</v>
      </c>
    </row>
    <row r="114" spans="1:46" s="48" customFormat="1" ht="28.5" customHeight="1">
      <c r="A114" s="44"/>
      <c r="B114" s="45"/>
      <c r="C114" s="46"/>
      <c r="D114" s="573" t="s">
        <v>2335</v>
      </c>
      <c r="E114" s="574"/>
      <c r="F114" s="574"/>
      <c r="G114" s="574"/>
      <c r="H114" s="574"/>
      <c r="I114" s="574"/>
      <c r="J114" s="574"/>
      <c r="K114" s="574"/>
      <c r="L114" s="574"/>
      <c r="M114" s="574"/>
      <c r="N114" s="574"/>
      <c r="O114" s="574"/>
      <c r="P114" s="574"/>
      <c r="Q114" s="574"/>
      <c r="R114" s="574"/>
      <c r="S114" s="574"/>
      <c r="T114" s="574"/>
      <c r="U114" s="575" t="s">
        <v>72</v>
      </c>
      <c r="V114" s="575"/>
      <c r="W114" s="575"/>
      <c r="X114" s="576"/>
      <c r="Y114" s="576"/>
      <c r="Z114" s="576"/>
      <c r="AA114" s="577">
        <f>AA107</f>
        <v>0</v>
      </c>
      <c r="AB114" s="577"/>
      <c r="AC114" s="577"/>
      <c r="AD114" s="577"/>
      <c r="AE114" s="577"/>
      <c r="AF114" s="577"/>
      <c r="AG114" s="577"/>
      <c r="AH114" s="577"/>
      <c r="AI114" s="578">
        <f t="shared" si="2"/>
        <v>0</v>
      </c>
      <c r="AJ114" s="578"/>
      <c r="AK114" s="578"/>
      <c r="AL114" s="578"/>
      <c r="AM114" s="578"/>
      <c r="AN114" s="579">
        <f t="shared" si="3"/>
        <v>0</v>
      </c>
      <c r="AO114" s="580"/>
      <c r="AP114" s="581"/>
      <c r="AQ114" s="47"/>
      <c r="AS114" s="211"/>
      <c r="AT114" s="200">
        <f>AI114/$AS$88</f>
        <v>0</v>
      </c>
    </row>
    <row r="115" spans="2:43" ht="13.5">
      <c r="B115" s="5"/>
      <c r="AQ115" s="6"/>
    </row>
    <row r="116" spans="2:46" ht="30" customHeight="1">
      <c r="B116" s="5"/>
      <c r="C116" s="49" t="s">
        <v>104</v>
      </c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615">
        <f>AG88+AG92+AG97+AG106</f>
        <v>0</v>
      </c>
      <c r="AH116" s="615"/>
      <c r="AI116" s="615"/>
      <c r="AJ116" s="615"/>
      <c r="AK116" s="615"/>
      <c r="AL116" s="615"/>
      <c r="AM116" s="615"/>
      <c r="AN116" s="615">
        <f>AN88+AN92+AN97+AN106</f>
        <v>0</v>
      </c>
      <c r="AO116" s="615"/>
      <c r="AP116" s="615"/>
      <c r="AQ116" s="6"/>
      <c r="AS116" s="203"/>
      <c r="AT116" s="203">
        <f>AG116/$AS$97</f>
        <v>0</v>
      </c>
    </row>
    <row r="117" spans="2:43" ht="6.9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4"/>
    </row>
  </sheetData>
  <mergeCells count="138">
    <mergeCell ref="D90:AF90"/>
    <mergeCell ref="AG90:AM90"/>
    <mergeCell ref="AN90:AP90"/>
    <mergeCell ref="D101:AF101"/>
    <mergeCell ref="AG101:AM101"/>
    <mergeCell ref="AN101:AP101"/>
    <mergeCell ref="AN104:AP104"/>
    <mergeCell ref="D107:T107"/>
    <mergeCell ref="AG103:AM103"/>
    <mergeCell ref="X107:Z107"/>
    <mergeCell ref="AA107:AH107"/>
    <mergeCell ref="U107:W107"/>
    <mergeCell ref="D98:AF98"/>
    <mergeCell ref="D93:AF93"/>
    <mergeCell ref="AN93:AP93"/>
    <mergeCell ref="D94:AF94"/>
    <mergeCell ref="AG94:AM94"/>
    <mergeCell ref="AN94:AP94"/>
    <mergeCell ref="D95:AF95"/>
    <mergeCell ref="AG97:AM97"/>
    <mergeCell ref="AN97:AP97"/>
    <mergeCell ref="AG95:AM95"/>
    <mergeCell ref="AN95:AP95"/>
    <mergeCell ref="D99:AF99"/>
    <mergeCell ref="AA110:AH110"/>
    <mergeCell ref="AI110:AM110"/>
    <mergeCell ref="AA108:AH108"/>
    <mergeCell ref="D108:T108"/>
    <mergeCell ref="U110:W110"/>
    <mergeCell ref="D104:AF104"/>
    <mergeCell ref="AG104:AM104"/>
    <mergeCell ref="U108:W108"/>
    <mergeCell ref="X108:Z108"/>
    <mergeCell ref="AG116:AM116"/>
    <mergeCell ref="D113:T113"/>
    <mergeCell ref="U113:W113"/>
    <mergeCell ref="X113:Z113"/>
    <mergeCell ref="AA113:AH113"/>
    <mergeCell ref="AI113:AM113"/>
    <mergeCell ref="AN116:AP116"/>
    <mergeCell ref="AN109:AP109"/>
    <mergeCell ref="AM81:AN81"/>
    <mergeCell ref="AG106:AM106"/>
    <mergeCell ref="AN106:AP106"/>
    <mergeCell ref="AN89:AP89"/>
    <mergeCell ref="AG89:AM89"/>
    <mergeCell ref="AG88:AM88"/>
    <mergeCell ref="AN88:AP88"/>
    <mergeCell ref="AM84:AP84"/>
    <mergeCell ref="AG86:AM86"/>
    <mergeCell ref="AN86:AP86"/>
    <mergeCell ref="AM83:AP83"/>
    <mergeCell ref="AN107:AP107"/>
    <mergeCell ref="AI107:AM107"/>
    <mergeCell ref="AN110:AP110"/>
    <mergeCell ref="AN108:AP108"/>
    <mergeCell ref="AN113:AP113"/>
    <mergeCell ref="AN98:AP98"/>
    <mergeCell ref="AG92:AM92"/>
    <mergeCell ref="AN92:AP92"/>
    <mergeCell ref="AG98:AM98"/>
    <mergeCell ref="AG93:AM93"/>
    <mergeCell ref="C2:AP2"/>
    <mergeCell ref="K3:AO3"/>
    <mergeCell ref="K4:AO4"/>
    <mergeCell ref="H24:I24"/>
    <mergeCell ref="E24:G24"/>
    <mergeCell ref="E25:G25"/>
    <mergeCell ref="H25:I25"/>
    <mergeCell ref="K25:AO25"/>
    <mergeCell ref="K11:AH11"/>
    <mergeCell ref="K24:AO24"/>
    <mergeCell ref="K6:AJ6"/>
    <mergeCell ref="AK28:AO28"/>
    <mergeCell ref="AK30:AO30"/>
    <mergeCell ref="W33:AE33"/>
    <mergeCell ref="AK33:AO33"/>
    <mergeCell ref="L33:O33"/>
    <mergeCell ref="L34:O34"/>
    <mergeCell ref="AK36:AO36"/>
    <mergeCell ref="X38:AB38"/>
    <mergeCell ref="D89:AF89"/>
    <mergeCell ref="L36:O36"/>
    <mergeCell ref="W36:AE36"/>
    <mergeCell ref="W32:AE32"/>
    <mergeCell ref="AK32:AO32"/>
    <mergeCell ref="D41:AP41"/>
    <mergeCell ref="D42:AP42"/>
    <mergeCell ref="D43:AP43"/>
    <mergeCell ref="W34:AE34"/>
    <mergeCell ref="I79:AO79"/>
    <mergeCell ref="I78:T78"/>
    <mergeCell ref="I81:AH81"/>
    <mergeCell ref="AK38:AO38"/>
    <mergeCell ref="AK34:AO34"/>
    <mergeCell ref="L32:O32"/>
    <mergeCell ref="L35:O35"/>
    <mergeCell ref="W35:AE35"/>
    <mergeCell ref="AK35:AO35"/>
    <mergeCell ref="C77:AP77"/>
    <mergeCell ref="C86:G86"/>
    <mergeCell ref="I86:AF86"/>
    <mergeCell ref="AG99:AM99"/>
    <mergeCell ref="AN99:AP99"/>
    <mergeCell ref="AG102:AM102"/>
    <mergeCell ref="AN102:AP102"/>
    <mergeCell ref="AN103:AP103"/>
    <mergeCell ref="D114:T114"/>
    <mergeCell ref="U114:W114"/>
    <mergeCell ref="X114:Z114"/>
    <mergeCell ref="AA114:AH114"/>
    <mergeCell ref="AI114:AM114"/>
    <mergeCell ref="AN114:AP114"/>
    <mergeCell ref="D103:AF103"/>
    <mergeCell ref="D102:AF102"/>
    <mergeCell ref="D109:T109"/>
    <mergeCell ref="U109:W109"/>
    <mergeCell ref="X109:Z109"/>
    <mergeCell ref="AA109:AH109"/>
    <mergeCell ref="D110:T110"/>
    <mergeCell ref="AI108:AM108"/>
    <mergeCell ref="AI109:AM109"/>
    <mergeCell ref="D100:AF100"/>
    <mergeCell ref="AG100:AM100"/>
    <mergeCell ref="AN100:AP100"/>
    <mergeCell ref="X110:Z110"/>
    <mergeCell ref="D111:T111"/>
    <mergeCell ref="U111:W111"/>
    <mergeCell ref="X111:Z111"/>
    <mergeCell ref="AA111:AH111"/>
    <mergeCell ref="AI111:AM111"/>
    <mergeCell ref="AN111:AP111"/>
    <mergeCell ref="D112:T112"/>
    <mergeCell ref="U112:W112"/>
    <mergeCell ref="X112:Z112"/>
    <mergeCell ref="AA112:AH112"/>
    <mergeCell ref="AI112:AM112"/>
    <mergeCell ref="AN112:AP1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  <headerFooter>
    <oddHeader>&amp;LBD Hübnerové&amp;ROdhad stavebních nákladů</oddHeader>
    <oddFooter>&amp;CStránka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7"/>
  <sheetViews>
    <sheetView view="pageBreakPreview" zoomScaleSheetLayoutView="100" workbookViewId="0" topLeftCell="A1">
      <selection activeCell="A3" sqref="A3"/>
    </sheetView>
  </sheetViews>
  <sheetFormatPr defaultColWidth="9.33203125" defaultRowHeight="13.5"/>
  <cols>
    <col min="1" max="1" width="12.83203125" style="429" customWidth="1"/>
    <col min="2" max="2" width="14.83203125" style="430" customWidth="1"/>
    <col min="3" max="3" width="69.66015625" style="430" customWidth="1"/>
    <col min="4" max="4" width="14.5" style="64" customWidth="1"/>
    <col min="5" max="5" width="18" style="65" customWidth="1"/>
    <col min="6" max="7" width="22.66015625" style="334" customWidth="1"/>
    <col min="8" max="8" width="25.33203125" style="427" customWidth="1"/>
    <col min="9" max="11" width="19.16015625" style="334" customWidth="1"/>
    <col min="12" max="256" width="9.33203125" style="428" customWidth="1"/>
    <col min="257" max="257" width="12.83203125" style="428" customWidth="1"/>
    <col min="258" max="258" width="82.83203125" style="428" customWidth="1"/>
    <col min="259" max="259" width="13" style="428" customWidth="1"/>
    <col min="260" max="260" width="10.16015625" style="428" customWidth="1"/>
    <col min="261" max="261" width="11.83203125" style="428" customWidth="1"/>
    <col min="262" max="262" width="15.66015625" style="428" customWidth="1"/>
    <col min="263" max="512" width="9.33203125" style="428" customWidth="1"/>
    <col min="513" max="513" width="12.83203125" style="428" customWidth="1"/>
    <col min="514" max="514" width="82.83203125" style="428" customWidth="1"/>
    <col min="515" max="515" width="13" style="428" customWidth="1"/>
    <col min="516" max="516" width="10.16015625" style="428" customWidth="1"/>
    <col min="517" max="517" width="11.83203125" style="428" customWidth="1"/>
    <col min="518" max="518" width="15.66015625" style="428" customWidth="1"/>
    <col min="519" max="768" width="9.33203125" style="428" customWidth="1"/>
    <col min="769" max="769" width="12.83203125" style="428" customWidth="1"/>
    <col min="770" max="770" width="82.83203125" style="428" customWidth="1"/>
    <col min="771" max="771" width="13" style="428" customWidth="1"/>
    <col min="772" max="772" width="10.16015625" style="428" customWidth="1"/>
    <col min="773" max="773" width="11.83203125" style="428" customWidth="1"/>
    <col min="774" max="774" width="15.66015625" style="428" customWidth="1"/>
    <col min="775" max="1024" width="9.33203125" style="428" customWidth="1"/>
    <col min="1025" max="1025" width="12.83203125" style="428" customWidth="1"/>
    <col min="1026" max="1026" width="82.83203125" style="428" customWidth="1"/>
    <col min="1027" max="1027" width="13" style="428" customWidth="1"/>
    <col min="1028" max="1028" width="10.16015625" style="428" customWidth="1"/>
    <col min="1029" max="1029" width="11.83203125" style="428" customWidth="1"/>
    <col min="1030" max="1030" width="15.66015625" style="428" customWidth="1"/>
    <col min="1031" max="1280" width="9.33203125" style="428" customWidth="1"/>
    <col min="1281" max="1281" width="12.83203125" style="428" customWidth="1"/>
    <col min="1282" max="1282" width="82.83203125" style="428" customWidth="1"/>
    <col min="1283" max="1283" width="13" style="428" customWidth="1"/>
    <col min="1284" max="1284" width="10.16015625" style="428" customWidth="1"/>
    <col min="1285" max="1285" width="11.83203125" style="428" customWidth="1"/>
    <col min="1286" max="1286" width="15.66015625" style="428" customWidth="1"/>
    <col min="1287" max="1536" width="9.33203125" style="428" customWidth="1"/>
    <col min="1537" max="1537" width="12.83203125" style="428" customWidth="1"/>
    <col min="1538" max="1538" width="82.83203125" style="428" customWidth="1"/>
    <col min="1539" max="1539" width="13" style="428" customWidth="1"/>
    <col min="1540" max="1540" width="10.16015625" style="428" customWidth="1"/>
    <col min="1541" max="1541" width="11.83203125" style="428" customWidth="1"/>
    <col min="1542" max="1542" width="15.66015625" style="428" customWidth="1"/>
    <col min="1543" max="1792" width="9.33203125" style="428" customWidth="1"/>
    <col min="1793" max="1793" width="12.83203125" style="428" customWidth="1"/>
    <col min="1794" max="1794" width="82.83203125" style="428" customWidth="1"/>
    <col min="1795" max="1795" width="13" style="428" customWidth="1"/>
    <col min="1796" max="1796" width="10.16015625" style="428" customWidth="1"/>
    <col min="1797" max="1797" width="11.83203125" style="428" customWidth="1"/>
    <col min="1798" max="1798" width="15.66015625" style="428" customWidth="1"/>
    <col min="1799" max="2048" width="9.33203125" style="428" customWidth="1"/>
    <col min="2049" max="2049" width="12.83203125" style="428" customWidth="1"/>
    <col min="2050" max="2050" width="82.83203125" style="428" customWidth="1"/>
    <col min="2051" max="2051" width="13" style="428" customWidth="1"/>
    <col min="2052" max="2052" width="10.16015625" style="428" customWidth="1"/>
    <col min="2053" max="2053" width="11.83203125" style="428" customWidth="1"/>
    <col min="2054" max="2054" width="15.66015625" style="428" customWidth="1"/>
    <col min="2055" max="2304" width="9.33203125" style="428" customWidth="1"/>
    <col min="2305" max="2305" width="12.83203125" style="428" customWidth="1"/>
    <col min="2306" max="2306" width="82.83203125" style="428" customWidth="1"/>
    <col min="2307" max="2307" width="13" style="428" customWidth="1"/>
    <col min="2308" max="2308" width="10.16015625" style="428" customWidth="1"/>
    <col min="2309" max="2309" width="11.83203125" style="428" customWidth="1"/>
    <col min="2310" max="2310" width="15.66015625" style="428" customWidth="1"/>
    <col min="2311" max="2560" width="9.33203125" style="428" customWidth="1"/>
    <col min="2561" max="2561" width="12.83203125" style="428" customWidth="1"/>
    <col min="2562" max="2562" width="82.83203125" style="428" customWidth="1"/>
    <col min="2563" max="2563" width="13" style="428" customWidth="1"/>
    <col min="2564" max="2564" width="10.16015625" style="428" customWidth="1"/>
    <col min="2565" max="2565" width="11.83203125" style="428" customWidth="1"/>
    <col min="2566" max="2566" width="15.66015625" style="428" customWidth="1"/>
    <col min="2567" max="2816" width="9.33203125" style="428" customWidth="1"/>
    <col min="2817" max="2817" width="12.83203125" style="428" customWidth="1"/>
    <col min="2818" max="2818" width="82.83203125" style="428" customWidth="1"/>
    <col min="2819" max="2819" width="13" style="428" customWidth="1"/>
    <col min="2820" max="2820" width="10.16015625" style="428" customWidth="1"/>
    <col min="2821" max="2821" width="11.83203125" style="428" customWidth="1"/>
    <col min="2822" max="2822" width="15.66015625" style="428" customWidth="1"/>
    <col min="2823" max="3072" width="9.33203125" style="428" customWidth="1"/>
    <col min="3073" max="3073" width="12.83203125" style="428" customWidth="1"/>
    <col min="3074" max="3074" width="82.83203125" style="428" customWidth="1"/>
    <col min="3075" max="3075" width="13" style="428" customWidth="1"/>
    <col min="3076" max="3076" width="10.16015625" style="428" customWidth="1"/>
    <col min="3077" max="3077" width="11.83203125" style="428" customWidth="1"/>
    <col min="3078" max="3078" width="15.66015625" style="428" customWidth="1"/>
    <col min="3079" max="3328" width="9.33203125" style="428" customWidth="1"/>
    <col min="3329" max="3329" width="12.83203125" style="428" customWidth="1"/>
    <col min="3330" max="3330" width="82.83203125" style="428" customWidth="1"/>
    <col min="3331" max="3331" width="13" style="428" customWidth="1"/>
    <col min="3332" max="3332" width="10.16015625" style="428" customWidth="1"/>
    <col min="3333" max="3333" width="11.83203125" style="428" customWidth="1"/>
    <col min="3334" max="3334" width="15.66015625" style="428" customWidth="1"/>
    <col min="3335" max="3584" width="9.33203125" style="428" customWidth="1"/>
    <col min="3585" max="3585" width="12.83203125" style="428" customWidth="1"/>
    <col min="3586" max="3586" width="82.83203125" style="428" customWidth="1"/>
    <col min="3587" max="3587" width="13" style="428" customWidth="1"/>
    <col min="3588" max="3588" width="10.16015625" style="428" customWidth="1"/>
    <col min="3589" max="3589" width="11.83203125" style="428" customWidth="1"/>
    <col min="3590" max="3590" width="15.66015625" style="428" customWidth="1"/>
    <col min="3591" max="3840" width="9.33203125" style="428" customWidth="1"/>
    <col min="3841" max="3841" width="12.83203125" style="428" customWidth="1"/>
    <col min="3842" max="3842" width="82.83203125" style="428" customWidth="1"/>
    <col min="3843" max="3843" width="13" style="428" customWidth="1"/>
    <col min="3844" max="3844" width="10.16015625" style="428" customWidth="1"/>
    <col min="3845" max="3845" width="11.83203125" style="428" customWidth="1"/>
    <col min="3846" max="3846" width="15.66015625" style="428" customWidth="1"/>
    <col min="3847" max="4096" width="9.33203125" style="428" customWidth="1"/>
    <col min="4097" max="4097" width="12.83203125" style="428" customWidth="1"/>
    <col min="4098" max="4098" width="82.83203125" style="428" customWidth="1"/>
    <col min="4099" max="4099" width="13" style="428" customWidth="1"/>
    <col min="4100" max="4100" width="10.16015625" style="428" customWidth="1"/>
    <col min="4101" max="4101" width="11.83203125" style="428" customWidth="1"/>
    <col min="4102" max="4102" width="15.66015625" style="428" customWidth="1"/>
    <col min="4103" max="4352" width="9.33203125" style="428" customWidth="1"/>
    <col min="4353" max="4353" width="12.83203125" style="428" customWidth="1"/>
    <col min="4354" max="4354" width="82.83203125" style="428" customWidth="1"/>
    <col min="4355" max="4355" width="13" style="428" customWidth="1"/>
    <col min="4356" max="4356" width="10.16015625" style="428" customWidth="1"/>
    <col min="4357" max="4357" width="11.83203125" style="428" customWidth="1"/>
    <col min="4358" max="4358" width="15.66015625" style="428" customWidth="1"/>
    <col min="4359" max="4608" width="9.33203125" style="428" customWidth="1"/>
    <col min="4609" max="4609" width="12.83203125" style="428" customWidth="1"/>
    <col min="4610" max="4610" width="82.83203125" style="428" customWidth="1"/>
    <col min="4611" max="4611" width="13" style="428" customWidth="1"/>
    <col min="4612" max="4612" width="10.16015625" style="428" customWidth="1"/>
    <col min="4613" max="4613" width="11.83203125" style="428" customWidth="1"/>
    <col min="4614" max="4614" width="15.66015625" style="428" customWidth="1"/>
    <col min="4615" max="4864" width="9.33203125" style="428" customWidth="1"/>
    <col min="4865" max="4865" width="12.83203125" style="428" customWidth="1"/>
    <col min="4866" max="4866" width="82.83203125" style="428" customWidth="1"/>
    <col min="4867" max="4867" width="13" style="428" customWidth="1"/>
    <col min="4868" max="4868" width="10.16015625" style="428" customWidth="1"/>
    <col min="4869" max="4869" width="11.83203125" style="428" customWidth="1"/>
    <col min="4870" max="4870" width="15.66015625" style="428" customWidth="1"/>
    <col min="4871" max="5120" width="9.33203125" style="428" customWidth="1"/>
    <col min="5121" max="5121" width="12.83203125" style="428" customWidth="1"/>
    <col min="5122" max="5122" width="82.83203125" style="428" customWidth="1"/>
    <col min="5123" max="5123" width="13" style="428" customWidth="1"/>
    <col min="5124" max="5124" width="10.16015625" style="428" customWidth="1"/>
    <col min="5125" max="5125" width="11.83203125" style="428" customWidth="1"/>
    <col min="5126" max="5126" width="15.66015625" style="428" customWidth="1"/>
    <col min="5127" max="5376" width="9.33203125" style="428" customWidth="1"/>
    <col min="5377" max="5377" width="12.83203125" style="428" customWidth="1"/>
    <col min="5378" max="5378" width="82.83203125" style="428" customWidth="1"/>
    <col min="5379" max="5379" width="13" style="428" customWidth="1"/>
    <col min="5380" max="5380" width="10.16015625" style="428" customWidth="1"/>
    <col min="5381" max="5381" width="11.83203125" style="428" customWidth="1"/>
    <col min="5382" max="5382" width="15.66015625" style="428" customWidth="1"/>
    <col min="5383" max="5632" width="9.33203125" style="428" customWidth="1"/>
    <col min="5633" max="5633" width="12.83203125" style="428" customWidth="1"/>
    <col min="5634" max="5634" width="82.83203125" style="428" customWidth="1"/>
    <col min="5635" max="5635" width="13" style="428" customWidth="1"/>
    <col min="5636" max="5636" width="10.16015625" style="428" customWidth="1"/>
    <col min="5637" max="5637" width="11.83203125" style="428" customWidth="1"/>
    <col min="5638" max="5638" width="15.66015625" style="428" customWidth="1"/>
    <col min="5639" max="5888" width="9.33203125" style="428" customWidth="1"/>
    <col min="5889" max="5889" width="12.83203125" style="428" customWidth="1"/>
    <col min="5890" max="5890" width="82.83203125" style="428" customWidth="1"/>
    <col min="5891" max="5891" width="13" style="428" customWidth="1"/>
    <col min="5892" max="5892" width="10.16015625" style="428" customWidth="1"/>
    <col min="5893" max="5893" width="11.83203125" style="428" customWidth="1"/>
    <col min="5894" max="5894" width="15.66015625" style="428" customWidth="1"/>
    <col min="5895" max="6144" width="9.33203125" style="428" customWidth="1"/>
    <col min="6145" max="6145" width="12.83203125" style="428" customWidth="1"/>
    <col min="6146" max="6146" width="82.83203125" style="428" customWidth="1"/>
    <col min="6147" max="6147" width="13" style="428" customWidth="1"/>
    <col min="6148" max="6148" width="10.16015625" style="428" customWidth="1"/>
    <col min="6149" max="6149" width="11.83203125" style="428" customWidth="1"/>
    <col min="6150" max="6150" width="15.66015625" style="428" customWidth="1"/>
    <col min="6151" max="6400" width="9.33203125" style="428" customWidth="1"/>
    <col min="6401" max="6401" width="12.83203125" style="428" customWidth="1"/>
    <col min="6402" max="6402" width="82.83203125" style="428" customWidth="1"/>
    <col min="6403" max="6403" width="13" style="428" customWidth="1"/>
    <col min="6404" max="6404" width="10.16015625" style="428" customWidth="1"/>
    <col min="6405" max="6405" width="11.83203125" style="428" customWidth="1"/>
    <col min="6406" max="6406" width="15.66015625" style="428" customWidth="1"/>
    <col min="6407" max="6656" width="9.33203125" style="428" customWidth="1"/>
    <col min="6657" max="6657" width="12.83203125" style="428" customWidth="1"/>
    <col min="6658" max="6658" width="82.83203125" style="428" customWidth="1"/>
    <col min="6659" max="6659" width="13" style="428" customWidth="1"/>
    <col min="6660" max="6660" width="10.16015625" style="428" customWidth="1"/>
    <col min="6661" max="6661" width="11.83203125" style="428" customWidth="1"/>
    <col min="6662" max="6662" width="15.66015625" style="428" customWidth="1"/>
    <col min="6663" max="6912" width="9.33203125" style="428" customWidth="1"/>
    <col min="6913" max="6913" width="12.83203125" style="428" customWidth="1"/>
    <col min="6914" max="6914" width="82.83203125" style="428" customWidth="1"/>
    <col min="6915" max="6915" width="13" style="428" customWidth="1"/>
    <col min="6916" max="6916" width="10.16015625" style="428" customWidth="1"/>
    <col min="6917" max="6917" width="11.83203125" style="428" customWidth="1"/>
    <col min="6918" max="6918" width="15.66015625" style="428" customWidth="1"/>
    <col min="6919" max="7168" width="9.33203125" style="428" customWidth="1"/>
    <col min="7169" max="7169" width="12.83203125" style="428" customWidth="1"/>
    <col min="7170" max="7170" width="82.83203125" style="428" customWidth="1"/>
    <col min="7171" max="7171" width="13" style="428" customWidth="1"/>
    <col min="7172" max="7172" width="10.16015625" style="428" customWidth="1"/>
    <col min="7173" max="7173" width="11.83203125" style="428" customWidth="1"/>
    <col min="7174" max="7174" width="15.66015625" style="428" customWidth="1"/>
    <col min="7175" max="7424" width="9.33203125" style="428" customWidth="1"/>
    <col min="7425" max="7425" width="12.83203125" style="428" customWidth="1"/>
    <col min="7426" max="7426" width="82.83203125" style="428" customWidth="1"/>
    <col min="7427" max="7427" width="13" style="428" customWidth="1"/>
    <col min="7428" max="7428" width="10.16015625" style="428" customWidth="1"/>
    <col min="7429" max="7429" width="11.83203125" style="428" customWidth="1"/>
    <col min="7430" max="7430" width="15.66015625" style="428" customWidth="1"/>
    <col min="7431" max="7680" width="9.33203125" style="428" customWidth="1"/>
    <col min="7681" max="7681" width="12.83203125" style="428" customWidth="1"/>
    <col min="7682" max="7682" width="82.83203125" style="428" customWidth="1"/>
    <col min="7683" max="7683" width="13" style="428" customWidth="1"/>
    <col min="7684" max="7684" width="10.16015625" style="428" customWidth="1"/>
    <col min="7685" max="7685" width="11.83203125" style="428" customWidth="1"/>
    <col min="7686" max="7686" width="15.66015625" style="428" customWidth="1"/>
    <col min="7687" max="7936" width="9.33203125" style="428" customWidth="1"/>
    <col min="7937" max="7937" width="12.83203125" style="428" customWidth="1"/>
    <col min="7938" max="7938" width="82.83203125" style="428" customWidth="1"/>
    <col min="7939" max="7939" width="13" style="428" customWidth="1"/>
    <col min="7940" max="7940" width="10.16015625" style="428" customWidth="1"/>
    <col min="7941" max="7941" width="11.83203125" style="428" customWidth="1"/>
    <col min="7942" max="7942" width="15.66015625" style="428" customWidth="1"/>
    <col min="7943" max="8192" width="9.33203125" style="428" customWidth="1"/>
    <col min="8193" max="8193" width="12.83203125" style="428" customWidth="1"/>
    <col min="8194" max="8194" width="82.83203125" style="428" customWidth="1"/>
    <col min="8195" max="8195" width="13" style="428" customWidth="1"/>
    <col min="8196" max="8196" width="10.16015625" style="428" customWidth="1"/>
    <col min="8197" max="8197" width="11.83203125" style="428" customWidth="1"/>
    <col min="8198" max="8198" width="15.66015625" style="428" customWidth="1"/>
    <col min="8199" max="8448" width="9.33203125" style="428" customWidth="1"/>
    <col min="8449" max="8449" width="12.83203125" style="428" customWidth="1"/>
    <col min="8450" max="8450" width="82.83203125" style="428" customWidth="1"/>
    <col min="8451" max="8451" width="13" style="428" customWidth="1"/>
    <col min="8452" max="8452" width="10.16015625" style="428" customWidth="1"/>
    <col min="8453" max="8453" width="11.83203125" style="428" customWidth="1"/>
    <col min="8454" max="8454" width="15.66015625" style="428" customWidth="1"/>
    <col min="8455" max="8704" width="9.33203125" style="428" customWidth="1"/>
    <col min="8705" max="8705" width="12.83203125" style="428" customWidth="1"/>
    <col min="8706" max="8706" width="82.83203125" style="428" customWidth="1"/>
    <col min="8707" max="8707" width="13" style="428" customWidth="1"/>
    <col min="8708" max="8708" width="10.16015625" style="428" customWidth="1"/>
    <col min="8709" max="8709" width="11.83203125" style="428" customWidth="1"/>
    <col min="8710" max="8710" width="15.66015625" style="428" customWidth="1"/>
    <col min="8711" max="8960" width="9.33203125" style="428" customWidth="1"/>
    <col min="8961" max="8961" width="12.83203125" style="428" customWidth="1"/>
    <col min="8962" max="8962" width="82.83203125" style="428" customWidth="1"/>
    <col min="8963" max="8963" width="13" style="428" customWidth="1"/>
    <col min="8964" max="8964" width="10.16015625" style="428" customWidth="1"/>
    <col min="8965" max="8965" width="11.83203125" style="428" customWidth="1"/>
    <col min="8966" max="8966" width="15.66015625" style="428" customWidth="1"/>
    <col min="8967" max="9216" width="9.33203125" style="428" customWidth="1"/>
    <col min="9217" max="9217" width="12.83203125" style="428" customWidth="1"/>
    <col min="9218" max="9218" width="82.83203125" style="428" customWidth="1"/>
    <col min="9219" max="9219" width="13" style="428" customWidth="1"/>
    <col min="9220" max="9220" width="10.16015625" style="428" customWidth="1"/>
    <col min="9221" max="9221" width="11.83203125" style="428" customWidth="1"/>
    <col min="9222" max="9222" width="15.66015625" style="428" customWidth="1"/>
    <col min="9223" max="9472" width="9.33203125" style="428" customWidth="1"/>
    <col min="9473" max="9473" width="12.83203125" style="428" customWidth="1"/>
    <col min="9474" max="9474" width="82.83203125" style="428" customWidth="1"/>
    <col min="9475" max="9475" width="13" style="428" customWidth="1"/>
    <col min="9476" max="9476" width="10.16015625" style="428" customWidth="1"/>
    <col min="9477" max="9477" width="11.83203125" style="428" customWidth="1"/>
    <col min="9478" max="9478" width="15.66015625" style="428" customWidth="1"/>
    <col min="9479" max="9728" width="9.33203125" style="428" customWidth="1"/>
    <col min="9729" max="9729" width="12.83203125" style="428" customWidth="1"/>
    <col min="9730" max="9730" width="82.83203125" style="428" customWidth="1"/>
    <col min="9731" max="9731" width="13" style="428" customWidth="1"/>
    <col min="9732" max="9732" width="10.16015625" style="428" customWidth="1"/>
    <col min="9733" max="9733" width="11.83203125" style="428" customWidth="1"/>
    <col min="9734" max="9734" width="15.66015625" style="428" customWidth="1"/>
    <col min="9735" max="9984" width="9.33203125" style="428" customWidth="1"/>
    <col min="9985" max="9985" width="12.83203125" style="428" customWidth="1"/>
    <col min="9986" max="9986" width="82.83203125" style="428" customWidth="1"/>
    <col min="9987" max="9987" width="13" style="428" customWidth="1"/>
    <col min="9988" max="9988" width="10.16015625" style="428" customWidth="1"/>
    <col min="9989" max="9989" width="11.83203125" style="428" customWidth="1"/>
    <col min="9990" max="9990" width="15.66015625" style="428" customWidth="1"/>
    <col min="9991" max="10240" width="9.33203125" style="428" customWidth="1"/>
    <col min="10241" max="10241" width="12.83203125" style="428" customWidth="1"/>
    <col min="10242" max="10242" width="82.83203125" style="428" customWidth="1"/>
    <col min="10243" max="10243" width="13" style="428" customWidth="1"/>
    <col min="10244" max="10244" width="10.16015625" style="428" customWidth="1"/>
    <col min="10245" max="10245" width="11.83203125" style="428" customWidth="1"/>
    <col min="10246" max="10246" width="15.66015625" style="428" customWidth="1"/>
    <col min="10247" max="10496" width="9.33203125" style="428" customWidth="1"/>
    <col min="10497" max="10497" width="12.83203125" style="428" customWidth="1"/>
    <col min="10498" max="10498" width="82.83203125" style="428" customWidth="1"/>
    <col min="10499" max="10499" width="13" style="428" customWidth="1"/>
    <col min="10500" max="10500" width="10.16015625" style="428" customWidth="1"/>
    <col min="10501" max="10501" width="11.83203125" style="428" customWidth="1"/>
    <col min="10502" max="10502" width="15.66015625" style="428" customWidth="1"/>
    <col min="10503" max="10752" width="9.33203125" style="428" customWidth="1"/>
    <col min="10753" max="10753" width="12.83203125" style="428" customWidth="1"/>
    <col min="10754" max="10754" width="82.83203125" style="428" customWidth="1"/>
    <col min="10755" max="10755" width="13" style="428" customWidth="1"/>
    <col min="10756" max="10756" width="10.16015625" style="428" customWidth="1"/>
    <col min="10757" max="10757" width="11.83203125" style="428" customWidth="1"/>
    <col min="10758" max="10758" width="15.66015625" style="428" customWidth="1"/>
    <col min="10759" max="11008" width="9.33203125" style="428" customWidth="1"/>
    <col min="11009" max="11009" width="12.83203125" style="428" customWidth="1"/>
    <col min="11010" max="11010" width="82.83203125" style="428" customWidth="1"/>
    <col min="11011" max="11011" width="13" style="428" customWidth="1"/>
    <col min="11012" max="11012" width="10.16015625" style="428" customWidth="1"/>
    <col min="11013" max="11013" width="11.83203125" style="428" customWidth="1"/>
    <col min="11014" max="11014" width="15.66015625" style="428" customWidth="1"/>
    <col min="11015" max="11264" width="9.33203125" style="428" customWidth="1"/>
    <col min="11265" max="11265" width="12.83203125" style="428" customWidth="1"/>
    <col min="11266" max="11266" width="82.83203125" style="428" customWidth="1"/>
    <col min="11267" max="11267" width="13" style="428" customWidth="1"/>
    <col min="11268" max="11268" width="10.16015625" style="428" customWidth="1"/>
    <col min="11269" max="11269" width="11.83203125" style="428" customWidth="1"/>
    <col min="11270" max="11270" width="15.66015625" style="428" customWidth="1"/>
    <col min="11271" max="11520" width="9.33203125" style="428" customWidth="1"/>
    <col min="11521" max="11521" width="12.83203125" style="428" customWidth="1"/>
    <col min="11522" max="11522" width="82.83203125" style="428" customWidth="1"/>
    <col min="11523" max="11523" width="13" style="428" customWidth="1"/>
    <col min="11524" max="11524" width="10.16015625" style="428" customWidth="1"/>
    <col min="11525" max="11525" width="11.83203125" style="428" customWidth="1"/>
    <col min="11526" max="11526" width="15.66015625" style="428" customWidth="1"/>
    <col min="11527" max="11776" width="9.33203125" style="428" customWidth="1"/>
    <col min="11777" max="11777" width="12.83203125" style="428" customWidth="1"/>
    <col min="11778" max="11778" width="82.83203125" style="428" customWidth="1"/>
    <col min="11779" max="11779" width="13" style="428" customWidth="1"/>
    <col min="11780" max="11780" width="10.16015625" style="428" customWidth="1"/>
    <col min="11781" max="11781" width="11.83203125" style="428" customWidth="1"/>
    <col min="11782" max="11782" width="15.66015625" style="428" customWidth="1"/>
    <col min="11783" max="12032" width="9.33203125" style="428" customWidth="1"/>
    <col min="12033" max="12033" width="12.83203125" style="428" customWidth="1"/>
    <col min="12034" max="12034" width="82.83203125" style="428" customWidth="1"/>
    <col min="12035" max="12035" width="13" style="428" customWidth="1"/>
    <col min="12036" max="12036" width="10.16015625" style="428" customWidth="1"/>
    <col min="12037" max="12037" width="11.83203125" style="428" customWidth="1"/>
    <col min="12038" max="12038" width="15.66015625" style="428" customWidth="1"/>
    <col min="12039" max="12288" width="9.33203125" style="428" customWidth="1"/>
    <col min="12289" max="12289" width="12.83203125" style="428" customWidth="1"/>
    <col min="12290" max="12290" width="82.83203125" style="428" customWidth="1"/>
    <col min="12291" max="12291" width="13" style="428" customWidth="1"/>
    <col min="12292" max="12292" width="10.16015625" style="428" customWidth="1"/>
    <col min="12293" max="12293" width="11.83203125" style="428" customWidth="1"/>
    <col min="12294" max="12294" width="15.66015625" style="428" customWidth="1"/>
    <col min="12295" max="12544" width="9.33203125" style="428" customWidth="1"/>
    <col min="12545" max="12545" width="12.83203125" style="428" customWidth="1"/>
    <col min="12546" max="12546" width="82.83203125" style="428" customWidth="1"/>
    <col min="12547" max="12547" width="13" style="428" customWidth="1"/>
    <col min="12548" max="12548" width="10.16015625" style="428" customWidth="1"/>
    <col min="12549" max="12549" width="11.83203125" style="428" customWidth="1"/>
    <col min="12550" max="12550" width="15.66015625" style="428" customWidth="1"/>
    <col min="12551" max="12800" width="9.33203125" style="428" customWidth="1"/>
    <col min="12801" max="12801" width="12.83203125" style="428" customWidth="1"/>
    <col min="12802" max="12802" width="82.83203125" style="428" customWidth="1"/>
    <col min="12803" max="12803" width="13" style="428" customWidth="1"/>
    <col min="12804" max="12804" width="10.16015625" style="428" customWidth="1"/>
    <col min="12805" max="12805" width="11.83203125" style="428" customWidth="1"/>
    <col min="12806" max="12806" width="15.66015625" style="428" customWidth="1"/>
    <col min="12807" max="13056" width="9.33203125" style="428" customWidth="1"/>
    <col min="13057" max="13057" width="12.83203125" style="428" customWidth="1"/>
    <col min="13058" max="13058" width="82.83203125" style="428" customWidth="1"/>
    <col min="13059" max="13059" width="13" style="428" customWidth="1"/>
    <col min="13060" max="13060" width="10.16015625" style="428" customWidth="1"/>
    <col min="13061" max="13061" width="11.83203125" style="428" customWidth="1"/>
    <col min="13062" max="13062" width="15.66015625" style="428" customWidth="1"/>
    <col min="13063" max="13312" width="9.33203125" style="428" customWidth="1"/>
    <col min="13313" max="13313" width="12.83203125" style="428" customWidth="1"/>
    <col min="13314" max="13314" width="82.83203125" style="428" customWidth="1"/>
    <col min="13315" max="13315" width="13" style="428" customWidth="1"/>
    <col min="13316" max="13316" width="10.16015625" style="428" customWidth="1"/>
    <col min="13317" max="13317" width="11.83203125" style="428" customWidth="1"/>
    <col min="13318" max="13318" width="15.66015625" style="428" customWidth="1"/>
    <col min="13319" max="13568" width="9.33203125" style="428" customWidth="1"/>
    <col min="13569" max="13569" width="12.83203125" style="428" customWidth="1"/>
    <col min="13570" max="13570" width="82.83203125" style="428" customWidth="1"/>
    <col min="13571" max="13571" width="13" style="428" customWidth="1"/>
    <col min="13572" max="13572" width="10.16015625" style="428" customWidth="1"/>
    <col min="13573" max="13573" width="11.83203125" style="428" customWidth="1"/>
    <col min="13574" max="13574" width="15.66015625" style="428" customWidth="1"/>
    <col min="13575" max="13824" width="9.33203125" style="428" customWidth="1"/>
    <col min="13825" max="13825" width="12.83203125" style="428" customWidth="1"/>
    <col min="13826" max="13826" width="82.83203125" style="428" customWidth="1"/>
    <col min="13827" max="13827" width="13" style="428" customWidth="1"/>
    <col min="13828" max="13828" width="10.16015625" style="428" customWidth="1"/>
    <col min="13829" max="13829" width="11.83203125" style="428" customWidth="1"/>
    <col min="13830" max="13830" width="15.66015625" style="428" customWidth="1"/>
    <col min="13831" max="14080" width="9.33203125" style="428" customWidth="1"/>
    <col min="14081" max="14081" width="12.83203125" style="428" customWidth="1"/>
    <col min="14082" max="14082" width="82.83203125" style="428" customWidth="1"/>
    <col min="14083" max="14083" width="13" style="428" customWidth="1"/>
    <col min="14084" max="14084" width="10.16015625" style="428" customWidth="1"/>
    <col min="14085" max="14085" width="11.83203125" style="428" customWidth="1"/>
    <col min="14086" max="14086" width="15.66015625" style="428" customWidth="1"/>
    <col min="14087" max="14336" width="9.33203125" style="428" customWidth="1"/>
    <col min="14337" max="14337" width="12.83203125" style="428" customWidth="1"/>
    <col min="14338" max="14338" width="82.83203125" style="428" customWidth="1"/>
    <col min="14339" max="14339" width="13" style="428" customWidth="1"/>
    <col min="14340" max="14340" width="10.16015625" style="428" customWidth="1"/>
    <col min="14341" max="14341" width="11.83203125" style="428" customWidth="1"/>
    <col min="14342" max="14342" width="15.66015625" style="428" customWidth="1"/>
    <col min="14343" max="14592" width="9.33203125" style="428" customWidth="1"/>
    <col min="14593" max="14593" width="12.83203125" style="428" customWidth="1"/>
    <col min="14594" max="14594" width="82.83203125" style="428" customWidth="1"/>
    <col min="14595" max="14595" width="13" style="428" customWidth="1"/>
    <col min="14596" max="14596" width="10.16015625" style="428" customWidth="1"/>
    <col min="14597" max="14597" width="11.83203125" style="428" customWidth="1"/>
    <col min="14598" max="14598" width="15.66015625" style="428" customWidth="1"/>
    <col min="14599" max="14848" width="9.33203125" style="428" customWidth="1"/>
    <col min="14849" max="14849" width="12.83203125" style="428" customWidth="1"/>
    <col min="14850" max="14850" width="82.83203125" style="428" customWidth="1"/>
    <col min="14851" max="14851" width="13" style="428" customWidth="1"/>
    <col min="14852" max="14852" width="10.16015625" style="428" customWidth="1"/>
    <col min="14853" max="14853" width="11.83203125" style="428" customWidth="1"/>
    <col min="14854" max="14854" width="15.66015625" style="428" customWidth="1"/>
    <col min="14855" max="15104" width="9.33203125" style="428" customWidth="1"/>
    <col min="15105" max="15105" width="12.83203125" style="428" customWidth="1"/>
    <col min="15106" max="15106" width="82.83203125" style="428" customWidth="1"/>
    <col min="15107" max="15107" width="13" style="428" customWidth="1"/>
    <col min="15108" max="15108" width="10.16015625" style="428" customWidth="1"/>
    <col min="15109" max="15109" width="11.83203125" style="428" customWidth="1"/>
    <col min="15110" max="15110" width="15.66015625" style="428" customWidth="1"/>
    <col min="15111" max="15360" width="9.33203125" style="428" customWidth="1"/>
    <col min="15361" max="15361" width="12.83203125" style="428" customWidth="1"/>
    <col min="15362" max="15362" width="82.83203125" style="428" customWidth="1"/>
    <col min="15363" max="15363" width="13" style="428" customWidth="1"/>
    <col min="15364" max="15364" width="10.16015625" style="428" customWidth="1"/>
    <col min="15365" max="15365" width="11.83203125" style="428" customWidth="1"/>
    <col min="15366" max="15366" width="15.66015625" style="428" customWidth="1"/>
    <col min="15367" max="15616" width="9.33203125" style="428" customWidth="1"/>
    <col min="15617" max="15617" width="12.83203125" style="428" customWidth="1"/>
    <col min="15618" max="15618" width="82.83203125" style="428" customWidth="1"/>
    <col min="15619" max="15619" width="13" style="428" customWidth="1"/>
    <col min="15620" max="15620" width="10.16015625" style="428" customWidth="1"/>
    <col min="15621" max="15621" width="11.83203125" style="428" customWidth="1"/>
    <col min="15622" max="15622" width="15.66015625" style="428" customWidth="1"/>
    <col min="15623" max="15872" width="9.33203125" style="428" customWidth="1"/>
    <col min="15873" max="15873" width="12.83203125" style="428" customWidth="1"/>
    <col min="15874" max="15874" width="82.83203125" style="428" customWidth="1"/>
    <col min="15875" max="15875" width="13" style="428" customWidth="1"/>
    <col min="15876" max="15876" width="10.16015625" style="428" customWidth="1"/>
    <col min="15877" max="15877" width="11.83203125" style="428" customWidth="1"/>
    <col min="15878" max="15878" width="15.66015625" style="428" customWidth="1"/>
    <col min="15879" max="16128" width="9.33203125" style="428" customWidth="1"/>
    <col min="16129" max="16129" width="12.83203125" style="428" customWidth="1"/>
    <col min="16130" max="16130" width="82.83203125" style="428" customWidth="1"/>
    <col min="16131" max="16131" width="13" style="428" customWidth="1"/>
    <col min="16132" max="16132" width="10.16015625" style="428" customWidth="1"/>
    <col min="16133" max="16133" width="11.83203125" style="428" customWidth="1"/>
    <col min="16134" max="16134" width="15.66015625" style="428" customWidth="1"/>
    <col min="16135" max="16384" width="9.33203125" style="428" customWidth="1"/>
  </cols>
  <sheetData>
    <row r="1" spans="1:11" ht="15">
      <c r="A1" s="426" t="s">
        <v>3</v>
      </c>
      <c r="B1" s="51" t="str">
        <f>Rekapitulace!K4</f>
        <v>Stavební úpravy, vestavba a přístavba stávajícího objektu</v>
      </c>
      <c r="C1" s="51"/>
      <c r="D1" s="51"/>
      <c r="E1" s="51"/>
      <c r="F1" s="51"/>
      <c r="G1" s="333"/>
      <c r="I1" s="333"/>
      <c r="J1" s="333"/>
      <c r="K1" s="333"/>
    </row>
    <row r="2" spans="4:11" ht="13.5">
      <c r="D2" s="53"/>
      <c r="E2" s="52"/>
      <c r="F2" s="333"/>
      <c r="G2" s="333"/>
      <c r="I2" s="333"/>
      <c r="J2" s="333"/>
      <c r="K2" s="333"/>
    </row>
    <row r="3" spans="1:11" s="54" customFormat="1" ht="12">
      <c r="A3" s="304" t="s">
        <v>127</v>
      </c>
      <c r="B3" s="304"/>
      <c r="C3" s="304"/>
      <c r="D3" s="304"/>
      <c r="E3" s="304"/>
      <c r="F3" s="304"/>
      <c r="G3" s="335"/>
      <c r="H3" s="431"/>
      <c r="I3" s="335"/>
      <c r="J3" s="335"/>
      <c r="K3" s="335"/>
    </row>
    <row r="4" spans="7:11" s="54" customFormat="1" ht="12">
      <c r="G4" s="335"/>
      <c r="H4" s="431"/>
      <c r="I4" s="335"/>
      <c r="J4" s="335"/>
      <c r="K4" s="335"/>
    </row>
    <row r="5" spans="1:11" s="51" customFormat="1" ht="15">
      <c r="A5" s="51" t="s">
        <v>1332</v>
      </c>
      <c r="G5" s="336"/>
      <c r="H5" s="432"/>
      <c r="I5" s="336"/>
      <c r="J5" s="336"/>
      <c r="K5" s="336"/>
    </row>
    <row r="6" spans="1:11" s="51" customFormat="1" ht="15.75" thickBot="1">
      <c r="A6" s="433"/>
      <c r="B6" s="434"/>
      <c r="C6" s="434"/>
      <c r="D6" s="55"/>
      <c r="E6" s="56"/>
      <c r="F6" s="402"/>
      <c r="G6" s="336"/>
      <c r="H6" s="432"/>
      <c r="I6" s="336"/>
      <c r="J6" s="336"/>
      <c r="K6" s="336"/>
    </row>
    <row r="7" spans="1:11" s="436" customFormat="1" ht="14.25" customHeight="1" thickBot="1">
      <c r="A7" s="435" t="s">
        <v>11</v>
      </c>
      <c r="B7" s="356">
        <f>Rekapitulace!K11</f>
        <v>0</v>
      </c>
      <c r="C7" s="356"/>
      <c r="D7" s="356"/>
      <c r="E7" s="356"/>
      <c r="F7" s="356"/>
      <c r="G7" s="356"/>
      <c r="H7" s="356"/>
      <c r="I7" s="356"/>
      <c r="J7" s="356"/>
      <c r="K7" s="357"/>
    </row>
    <row r="8" ht="13.5" thickBot="1"/>
    <row r="9" spans="1:11" ht="13.5" customHeight="1">
      <c r="A9" s="437"/>
      <c r="B9" s="438"/>
      <c r="C9" s="439"/>
      <c r="D9" s="66"/>
      <c r="E9" s="67"/>
      <c r="F9" s="403"/>
      <c r="G9" s="403"/>
      <c r="H9" s="403"/>
      <c r="I9" s="403"/>
      <c r="J9" s="403"/>
      <c r="K9" s="403"/>
    </row>
    <row r="10" spans="1:11" s="442" customFormat="1" ht="15" customHeight="1" thickBot="1">
      <c r="A10" s="440" t="s">
        <v>1333</v>
      </c>
      <c r="B10" s="440" t="s">
        <v>34</v>
      </c>
      <c r="C10" s="441" t="s">
        <v>1334</v>
      </c>
      <c r="D10" s="441" t="s">
        <v>1335</v>
      </c>
      <c r="E10" s="441" t="s">
        <v>1336</v>
      </c>
      <c r="F10" s="723" t="s">
        <v>1337</v>
      </c>
      <c r="G10" s="724"/>
      <c r="H10" s="725"/>
      <c r="I10" s="720" t="s">
        <v>1338</v>
      </c>
      <c r="J10" s="721"/>
      <c r="K10" s="722"/>
    </row>
    <row r="11" spans="1:11" s="442" customFormat="1" ht="39.95" customHeight="1" thickBot="1" thickTop="1">
      <c r="A11" s="443"/>
      <c r="B11" s="443"/>
      <c r="C11" s="444"/>
      <c r="D11" s="445"/>
      <c r="E11" s="445"/>
      <c r="F11" s="521" t="s">
        <v>1339</v>
      </c>
      <c r="G11" s="521" t="s">
        <v>1340</v>
      </c>
      <c r="H11" s="446" t="s">
        <v>1341</v>
      </c>
      <c r="I11" s="374" t="s">
        <v>1339</v>
      </c>
      <c r="J11" s="374" t="s">
        <v>1340</v>
      </c>
      <c r="K11" s="375" t="s">
        <v>1342</v>
      </c>
    </row>
    <row r="12" spans="1:11" s="442" customFormat="1" ht="15" customHeight="1" thickTop="1">
      <c r="A12" s="447" t="s">
        <v>1343</v>
      </c>
      <c r="B12" s="448"/>
      <c r="C12" s="449"/>
      <c r="D12" s="448"/>
      <c r="E12" s="448"/>
      <c r="F12" s="358"/>
      <c r="G12" s="358"/>
      <c r="H12" s="448"/>
      <c r="I12" s="337"/>
      <c r="J12" s="337"/>
      <c r="K12" s="338"/>
    </row>
    <row r="13" spans="1:11" s="455" customFormat="1" ht="30">
      <c r="A13" s="450" t="s">
        <v>1344</v>
      </c>
      <c r="B13" s="450"/>
      <c r="C13" s="451" t="s">
        <v>1345</v>
      </c>
      <c r="D13" s="452">
        <v>1</v>
      </c>
      <c r="E13" s="453" t="s">
        <v>149</v>
      </c>
      <c r="F13" s="359"/>
      <c r="G13" s="359"/>
      <c r="H13" s="454"/>
      <c r="I13" s="339">
        <f>PRODUCT(D13*F13)</f>
        <v>0</v>
      </c>
      <c r="J13" s="339"/>
      <c r="K13" s="339"/>
    </row>
    <row r="14" spans="1:11" s="455" customFormat="1" ht="30">
      <c r="A14" s="450"/>
      <c r="B14" s="450"/>
      <c r="C14" s="451" t="s">
        <v>1346</v>
      </c>
      <c r="D14" s="452"/>
      <c r="E14" s="453"/>
      <c r="F14" s="360"/>
      <c r="G14" s="360"/>
      <c r="H14" s="454"/>
      <c r="I14" s="339"/>
      <c r="J14" s="339"/>
      <c r="K14" s="339"/>
    </row>
    <row r="15" spans="1:11" s="455" customFormat="1" ht="30">
      <c r="A15" s="450"/>
      <c r="B15" s="450"/>
      <c r="C15" s="451" t="s">
        <v>1347</v>
      </c>
      <c r="D15" s="452"/>
      <c r="E15" s="453"/>
      <c r="F15" s="360"/>
      <c r="G15" s="360"/>
      <c r="H15" s="454"/>
      <c r="I15" s="339"/>
      <c r="J15" s="339"/>
      <c r="K15" s="339"/>
    </row>
    <row r="16" spans="1:11" s="455" customFormat="1" ht="27">
      <c r="A16" s="450"/>
      <c r="B16" s="450"/>
      <c r="C16" s="456" t="s">
        <v>1348</v>
      </c>
      <c r="D16" s="452"/>
      <c r="E16" s="453"/>
      <c r="F16" s="360"/>
      <c r="G16" s="360"/>
      <c r="H16" s="454"/>
      <c r="I16" s="339"/>
      <c r="J16" s="339"/>
      <c r="K16" s="339"/>
    </row>
    <row r="17" spans="1:11" s="455" customFormat="1" ht="27">
      <c r="A17" s="450"/>
      <c r="B17" s="450"/>
      <c r="C17" s="456" t="s">
        <v>1349</v>
      </c>
      <c r="D17" s="452"/>
      <c r="E17" s="453"/>
      <c r="F17" s="360"/>
      <c r="G17" s="360"/>
      <c r="H17" s="454"/>
      <c r="I17" s="339"/>
      <c r="J17" s="339"/>
      <c r="K17" s="339"/>
    </row>
    <row r="18" spans="1:11" s="455" customFormat="1" ht="15">
      <c r="A18" s="450"/>
      <c r="B18" s="450"/>
      <c r="C18" s="456" t="s">
        <v>1350</v>
      </c>
      <c r="D18" s="452"/>
      <c r="E18" s="453"/>
      <c r="F18" s="360"/>
      <c r="G18" s="360"/>
      <c r="H18" s="454"/>
      <c r="I18" s="339"/>
      <c r="J18" s="339"/>
      <c r="K18" s="339"/>
    </row>
    <row r="19" spans="1:11" s="455" customFormat="1" ht="30">
      <c r="A19" s="450"/>
      <c r="B19" s="450"/>
      <c r="C19" s="457" t="s">
        <v>1351</v>
      </c>
      <c r="D19" s="452"/>
      <c r="E19" s="453"/>
      <c r="F19" s="360"/>
      <c r="G19" s="360"/>
      <c r="H19" s="454"/>
      <c r="I19" s="339"/>
      <c r="J19" s="339"/>
      <c r="K19" s="339"/>
    </row>
    <row r="20" spans="1:11" s="455" customFormat="1" ht="15">
      <c r="A20" s="450"/>
      <c r="B20" s="450"/>
      <c r="C20" s="457" t="s">
        <v>1352</v>
      </c>
      <c r="D20" s="452"/>
      <c r="E20" s="453"/>
      <c r="F20" s="360"/>
      <c r="G20" s="360"/>
      <c r="H20" s="454"/>
      <c r="I20" s="339"/>
      <c r="J20" s="339"/>
      <c r="K20" s="339"/>
    </row>
    <row r="21" spans="1:11" s="455" customFormat="1" ht="15">
      <c r="A21" s="450"/>
      <c r="B21" s="450"/>
      <c r="C21" s="457" t="s">
        <v>1353</v>
      </c>
      <c r="D21" s="452"/>
      <c r="E21" s="453"/>
      <c r="F21" s="360"/>
      <c r="G21" s="360"/>
      <c r="H21" s="454"/>
      <c r="I21" s="339"/>
      <c r="J21" s="339"/>
      <c r="K21" s="339"/>
    </row>
    <row r="22" spans="1:11" s="455" customFormat="1" ht="30">
      <c r="A22" s="450"/>
      <c r="B22" s="450"/>
      <c r="C22" s="457" t="s">
        <v>1354</v>
      </c>
      <c r="D22" s="452"/>
      <c r="E22" s="453"/>
      <c r="F22" s="360"/>
      <c r="G22" s="360"/>
      <c r="H22" s="454"/>
      <c r="I22" s="339"/>
      <c r="J22" s="339"/>
      <c r="K22" s="339"/>
    </row>
    <row r="23" spans="1:11" s="455" customFormat="1" ht="15">
      <c r="A23" s="450"/>
      <c r="B23" s="450"/>
      <c r="C23" s="457" t="s">
        <v>1355</v>
      </c>
      <c r="D23" s="452"/>
      <c r="E23" s="453"/>
      <c r="F23" s="360"/>
      <c r="G23" s="360"/>
      <c r="H23" s="454"/>
      <c r="I23" s="339"/>
      <c r="J23" s="339"/>
      <c r="K23" s="339"/>
    </row>
    <row r="24" spans="1:11" s="455" customFormat="1" ht="15">
      <c r="A24" s="450"/>
      <c r="B24" s="450"/>
      <c r="C24" s="456" t="s">
        <v>1356</v>
      </c>
      <c r="D24" s="452"/>
      <c r="E24" s="453"/>
      <c r="F24" s="360"/>
      <c r="G24" s="360"/>
      <c r="H24" s="454"/>
      <c r="I24" s="339"/>
      <c r="J24" s="339"/>
      <c r="K24" s="339"/>
    </row>
    <row r="25" spans="1:11" s="455" customFormat="1" ht="30">
      <c r="A25" s="450"/>
      <c r="B25" s="450"/>
      <c r="C25" s="457" t="s">
        <v>1357</v>
      </c>
      <c r="D25" s="452"/>
      <c r="E25" s="453"/>
      <c r="F25" s="360"/>
      <c r="G25" s="360"/>
      <c r="H25" s="454"/>
      <c r="I25" s="339"/>
      <c r="J25" s="339"/>
      <c r="K25" s="339"/>
    </row>
    <row r="26" spans="1:11" s="455" customFormat="1" ht="15">
      <c r="A26" s="450"/>
      <c r="B26" s="450"/>
      <c r="C26" s="457" t="s">
        <v>1358</v>
      </c>
      <c r="D26" s="452"/>
      <c r="E26" s="453"/>
      <c r="F26" s="360"/>
      <c r="G26" s="360"/>
      <c r="H26" s="454"/>
      <c r="I26" s="339"/>
      <c r="J26" s="339"/>
      <c r="K26" s="339"/>
    </row>
    <row r="27" spans="1:11" s="455" customFormat="1" ht="30">
      <c r="A27" s="450"/>
      <c r="B27" s="450"/>
      <c r="C27" s="457" t="s">
        <v>1359</v>
      </c>
      <c r="D27" s="452"/>
      <c r="E27" s="453"/>
      <c r="F27" s="360"/>
      <c r="G27" s="360"/>
      <c r="H27" s="454"/>
      <c r="I27" s="339"/>
      <c r="J27" s="339"/>
      <c r="K27" s="339"/>
    </row>
    <row r="28" spans="1:11" s="455" customFormat="1" ht="15">
      <c r="A28" s="450"/>
      <c r="B28" s="450"/>
      <c r="C28" s="457" t="s">
        <v>1360</v>
      </c>
      <c r="D28" s="452">
        <v>1</v>
      </c>
      <c r="E28" s="453" t="s">
        <v>149</v>
      </c>
      <c r="F28" s="359"/>
      <c r="G28" s="359"/>
      <c r="H28" s="454"/>
      <c r="I28" s="339"/>
      <c r="J28" s="339">
        <f>PRODUCT(D28*G28)</f>
        <v>0</v>
      </c>
      <c r="K28" s="339"/>
    </row>
    <row r="29" spans="1:11" s="455" customFormat="1" ht="15">
      <c r="A29" s="450"/>
      <c r="B29" s="450" t="s">
        <v>1361</v>
      </c>
      <c r="C29" s="457" t="s">
        <v>1362</v>
      </c>
      <c r="D29" s="452">
        <v>1</v>
      </c>
      <c r="E29" s="453" t="s">
        <v>149</v>
      </c>
      <c r="F29" s="359"/>
      <c r="G29" s="359"/>
      <c r="H29" s="454"/>
      <c r="I29" s="339"/>
      <c r="J29" s="339">
        <f>PRODUCT(D29*G29)</f>
        <v>0</v>
      </c>
      <c r="K29" s="339"/>
    </row>
    <row r="30" spans="1:11" s="442" customFormat="1" ht="13.5">
      <c r="A30" s="458"/>
      <c r="B30" s="458"/>
      <c r="C30" s="459" t="s">
        <v>1363</v>
      </c>
      <c r="D30" s="460"/>
      <c r="E30" s="461"/>
      <c r="F30" s="361"/>
      <c r="G30" s="361"/>
      <c r="H30" s="462">
        <f>SUM(F13:G29)</f>
        <v>0</v>
      </c>
      <c r="I30" s="340"/>
      <c r="J30" s="340"/>
      <c r="K30" s="340">
        <f>SUM(I13:J29)</f>
        <v>0</v>
      </c>
    </row>
    <row r="31" spans="1:11" s="455" customFormat="1" ht="15">
      <c r="A31" s="450"/>
      <c r="B31" s="450"/>
      <c r="C31" s="463"/>
      <c r="D31" s="452"/>
      <c r="E31" s="453"/>
      <c r="F31" s="360"/>
      <c r="G31" s="360"/>
      <c r="H31" s="464"/>
      <c r="I31" s="339"/>
      <c r="J31" s="339"/>
      <c r="K31" s="339"/>
    </row>
    <row r="32" spans="1:11" s="455" customFormat="1" ht="30">
      <c r="A32" s="450" t="s">
        <v>1364</v>
      </c>
      <c r="B32" s="450"/>
      <c r="C32" s="457" t="s">
        <v>1365</v>
      </c>
      <c r="D32" s="452">
        <v>2</v>
      </c>
      <c r="E32" s="453" t="s">
        <v>149</v>
      </c>
      <c r="F32" s="359"/>
      <c r="G32" s="359"/>
      <c r="H32" s="454"/>
      <c r="I32" s="339">
        <f>PRODUCT(D32*F32)</f>
        <v>0</v>
      </c>
      <c r="J32" s="339"/>
      <c r="K32" s="339"/>
    </row>
    <row r="33" spans="1:11" s="455" customFormat="1" ht="27">
      <c r="A33" s="450"/>
      <c r="B33" s="450"/>
      <c r="C33" s="456" t="s">
        <v>1366</v>
      </c>
      <c r="D33" s="452"/>
      <c r="E33" s="453"/>
      <c r="F33" s="360"/>
      <c r="G33" s="360"/>
      <c r="H33" s="454"/>
      <c r="I33" s="339"/>
      <c r="J33" s="339"/>
      <c r="K33" s="339"/>
    </row>
    <row r="34" spans="1:11" s="455" customFormat="1" ht="27">
      <c r="A34" s="450"/>
      <c r="B34" s="450"/>
      <c r="C34" s="456" t="s">
        <v>1367</v>
      </c>
      <c r="D34" s="452"/>
      <c r="E34" s="453"/>
      <c r="F34" s="360"/>
      <c r="G34" s="360"/>
      <c r="H34" s="454"/>
      <c r="I34" s="339"/>
      <c r="J34" s="339"/>
      <c r="K34" s="339"/>
    </row>
    <row r="35" spans="1:11" s="455" customFormat="1" ht="15" customHeight="1">
      <c r="A35" s="450"/>
      <c r="B35" s="450"/>
      <c r="C35" s="457" t="s">
        <v>1368</v>
      </c>
      <c r="D35" s="452">
        <v>2</v>
      </c>
      <c r="E35" s="453" t="s">
        <v>149</v>
      </c>
      <c r="F35" s="359"/>
      <c r="G35" s="359"/>
      <c r="H35" s="454"/>
      <c r="I35" s="339"/>
      <c r="J35" s="339">
        <f>PRODUCT(D35*G35)</f>
        <v>0</v>
      </c>
      <c r="K35" s="339"/>
    </row>
    <row r="36" spans="1:11" s="442" customFormat="1" ht="15" customHeight="1">
      <c r="A36" s="458"/>
      <c r="B36" s="458"/>
      <c r="C36" s="459" t="s">
        <v>1369</v>
      </c>
      <c r="D36" s="460"/>
      <c r="E36" s="461"/>
      <c r="F36" s="361"/>
      <c r="G36" s="361"/>
      <c r="H36" s="462">
        <f>SUM(F32:G35)</f>
        <v>0</v>
      </c>
      <c r="I36" s="340"/>
      <c r="J36" s="340"/>
      <c r="K36" s="340">
        <f>SUM(I32:J35)</f>
        <v>0</v>
      </c>
    </row>
    <row r="37" spans="1:11" s="455" customFormat="1" ht="15" customHeight="1">
      <c r="A37" s="450"/>
      <c r="B37" s="450"/>
      <c r="C37" s="463"/>
      <c r="D37" s="452"/>
      <c r="E37" s="453"/>
      <c r="F37" s="360"/>
      <c r="G37" s="360"/>
      <c r="H37" s="464"/>
      <c r="I37" s="339"/>
      <c r="J37" s="339"/>
      <c r="K37" s="339"/>
    </row>
    <row r="38" spans="1:11" s="455" customFormat="1" ht="15" customHeight="1">
      <c r="A38" s="450" t="s">
        <v>1370</v>
      </c>
      <c r="B38" s="450"/>
      <c r="C38" s="457" t="s">
        <v>1371</v>
      </c>
      <c r="D38" s="452">
        <v>1</v>
      </c>
      <c r="E38" s="453" t="s">
        <v>149</v>
      </c>
      <c r="F38" s="359"/>
      <c r="G38" s="359"/>
      <c r="H38" s="454"/>
      <c r="I38" s="339">
        <f>PRODUCT(D38*F38)</f>
        <v>0</v>
      </c>
      <c r="J38" s="339"/>
      <c r="K38" s="339"/>
    </row>
    <row r="39" spans="1:11" s="455" customFormat="1" ht="15" customHeight="1">
      <c r="A39" s="450"/>
      <c r="B39" s="450"/>
      <c r="C39" s="456" t="s">
        <v>1372</v>
      </c>
      <c r="D39" s="452"/>
      <c r="E39" s="453"/>
      <c r="F39" s="360"/>
      <c r="G39" s="360"/>
      <c r="H39" s="454"/>
      <c r="I39" s="339"/>
      <c r="J39" s="339"/>
      <c r="K39" s="339"/>
    </row>
    <row r="40" spans="1:11" s="455" customFormat="1" ht="15" customHeight="1">
      <c r="A40" s="450"/>
      <c r="B40" s="450"/>
      <c r="C40" s="456" t="s">
        <v>1373</v>
      </c>
      <c r="D40" s="452"/>
      <c r="E40" s="453"/>
      <c r="F40" s="360"/>
      <c r="G40" s="360"/>
      <c r="H40" s="454"/>
      <c r="I40" s="339"/>
      <c r="J40" s="339"/>
      <c r="K40" s="339"/>
    </row>
    <row r="41" spans="1:11" s="455" customFormat="1" ht="15" customHeight="1">
      <c r="A41" s="450"/>
      <c r="B41" s="450"/>
      <c r="C41" s="457" t="s">
        <v>1374</v>
      </c>
      <c r="D41" s="452">
        <v>1</v>
      </c>
      <c r="E41" s="453" t="s">
        <v>149</v>
      </c>
      <c r="F41" s="359"/>
      <c r="G41" s="359"/>
      <c r="H41" s="454"/>
      <c r="I41" s="339"/>
      <c r="J41" s="339">
        <f>PRODUCT(D41*G41)</f>
        <v>0</v>
      </c>
      <c r="K41" s="339"/>
    </row>
    <row r="42" spans="1:11" s="442" customFormat="1" ht="15" customHeight="1">
      <c r="A42" s="458"/>
      <c r="B42" s="458"/>
      <c r="C42" s="459" t="s">
        <v>1375</v>
      </c>
      <c r="D42" s="460"/>
      <c r="E42" s="461"/>
      <c r="F42" s="361"/>
      <c r="G42" s="361"/>
      <c r="H42" s="462">
        <f>SUM(F38:G41)</f>
        <v>0</v>
      </c>
      <c r="I42" s="340"/>
      <c r="J42" s="340"/>
      <c r="K42" s="340">
        <f>SUM(I38:J41)</f>
        <v>0</v>
      </c>
    </row>
    <row r="43" spans="1:11" s="455" customFormat="1" ht="15" customHeight="1">
      <c r="A43" s="450"/>
      <c r="B43" s="450"/>
      <c r="C43" s="463"/>
      <c r="D43" s="452"/>
      <c r="E43" s="453"/>
      <c r="F43" s="360"/>
      <c r="G43" s="360"/>
      <c r="H43" s="464"/>
      <c r="I43" s="339"/>
      <c r="J43" s="339"/>
      <c r="K43" s="339"/>
    </row>
    <row r="44" spans="1:11" s="455" customFormat="1" ht="15" customHeight="1">
      <c r="A44" s="450" t="s">
        <v>1376</v>
      </c>
      <c r="B44" s="450"/>
      <c r="C44" s="457" t="s">
        <v>1377</v>
      </c>
      <c r="D44" s="452">
        <v>1</v>
      </c>
      <c r="E44" s="453" t="s">
        <v>149</v>
      </c>
      <c r="F44" s="359"/>
      <c r="G44" s="359"/>
      <c r="H44" s="454"/>
      <c r="I44" s="339">
        <f>PRODUCT(D44*F44)</f>
        <v>0</v>
      </c>
      <c r="J44" s="339"/>
      <c r="K44" s="339"/>
    </row>
    <row r="45" spans="1:11" s="455" customFormat="1" ht="15" customHeight="1">
      <c r="A45" s="450"/>
      <c r="B45" s="450"/>
      <c r="C45" s="457" t="s">
        <v>1378</v>
      </c>
      <c r="D45" s="452">
        <v>1</v>
      </c>
      <c r="E45" s="453" t="s">
        <v>149</v>
      </c>
      <c r="F45" s="359"/>
      <c r="G45" s="359"/>
      <c r="H45" s="454"/>
      <c r="I45" s="339"/>
      <c r="J45" s="339">
        <f>PRODUCT(D45*G45)</f>
        <v>0</v>
      </c>
      <c r="K45" s="339"/>
    </row>
    <row r="46" spans="1:11" s="442" customFormat="1" ht="15" customHeight="1">
      <c r="A46" s="458"/>
      <c r="B46" s="458"/>
      <c r="C46" s="459" t="s">
        <v>1379</v>
      </c>
      <c r="D46" s="460"/>
      <c r="E46" s="461"/>
      <c r="F46" s="361"/>
      <c r="G46" s="361"/>
      <c r="H46" s="462">
        <f>SUM(F44:G45)</f>
        <v>0</v>
      </c>
      <c r="I46" s="340"/>
      <c r="J46" s="340"/>
      <c r="K46" s="340">
        <f>SUM(I44:J45)</f>
        <v>0</v>
      </c>
    </row>
    <row r="47" spans="1:11" s="455" customFormat="1" ht="15" customHeight="1">
      <c r="A47" s="450"/>
      <c r="B47" s="450"/>
      <c r="C47" s="463"/>
      <c r="D47" s="452"/>
      <c r="E47" s="453"/>
      <c r="F47" s="360"/>
      <c r="G47" s="360"/>
      <c r="H47" s="464"/>
      <c r="I47" s="339"/>
      <c r="J47" s="339"/>
      <c r="K47" s="339"/>
    </row>
    <row r="48" spans="1:11" s="455" customFormat="1" ht="15" customHeight="1">
      <c r="A48" s="450" t="s">
        <v>1380</v>
      </c>
      <c r="B48" s="450"/>
      <c r="C48" s="457" t="s">
        <v>1381</v>
      </c>
      <c r="D48" s="452">
        <v>1</v>
      </c>
      <c r="E48" s="453" t="s">
        <v>149</v>
      </c>
      <c r="F48" s="359"/>
      <c r="G48" s="359"/>
      <c r="H48" s="454"/>
      <c r="I48" s="339">
        <f>D48*F48</f>
        <v>0</v>
      </c>
      <c r="J48" s="339"/>
      <c r="K48" s="339"/>
    </row>
    <row r="49" spans="1:11" s="455" customFormat="1" ht="15" customHeight="1">
      <c r="A49" s="450" t="s">
        <v>1382</v>
      </c>
      <c r="B49" s="450"/>
      <c r="C49" s="457" t="s">
        <v>1383</v>
      </c>
      <c r="D49" s="452">
        <v>1</v>
      </c>
      <c r="E49" s="453" t="s">
        <v>149</v>
      </c>
      <c r="F49" s="359"/>
      <c r="G49" s="359"/>
      <c r="H49" s="454"/>
      <c r="I49" s="339">
        <f>D49*F49</f>
        <v>0</v>
      </c>
      <c r="J49" s="339"/>
      <c r="K49" s="339"/>
    </row>
    <row r="50" spans="1:11" s="455" customFormat="1" ht="15" customHeight="1">
      <c r="A50" s="450"/>
      <c r="B50" s="465" t="s">
        <v>1384</v>
      </c>
      <c r="C50" s="457" t="s">
        <v>1385</v>
      </c>
      <c r="D50" s="452">
        <f>SUM(D48:D49)</f>
        <v>2</v>
      </c>
      <c r="E50" s="453" t="s">
        <v>149</v>
      </c>
      <c r="F50" s="359"/>
      <c r="G50" s="359"/>
      <c r="H50" s="454"/>
      <c r="I50" s="339"/>
      <c r="J50" s="339">
        <f>D50*G50</f>
        <v>0</v>
      </c>
      <c r="K50" s="339"/>
    </row>
    <row r="51" spans="1:11" s="455" customFormat="1" ht="15" customHeight="1">
      <c r="A51" s="466"/>
      <c r="B51" s="466"/>
      <c r="C51" s="467" t="s">
        <v>1386</v>
      </c>
      <c r="D51" s="468"/>
      <c r="E51" s="469"/>
      <c r="F51" s="362"/>
      <c r="G51" s="362"/>
      <c r="H51" s="470">
        <f>SUM(F48:G50)</f>
        <v>0</v>
      </c>
      <c r="I51" s="341"/>
      <c r="J51" s="341"/>
      <c r="K51" s="341">
        <f>SUM(I48:J50)</f>
        <v>0</v>
      </c>
    </row>
    <row r="52" spans="1:11" s="455" customFormat="1" ht="15" customHeight="1">
      <c r="A52" s="450"/>
      <c r="B52" s="450"/>
      <c r="C52" s="463"/>
      <c r="D52" s="452"/>
      <c r="E52" s="453"/>
      <c r="F52" s="360"/>
      <c r="G52" s="360"/>
      <c r="H52" s="464"/>
      <c r="I52" s="339"/>
      <c r="J52" s="339"/>
      <c r="K52" s="339"/>
    </row>
    <row r="53" spans="1:11" s="455" customFormat="1" ht="15" customHeight="1">
      <c r="A53" s="450" t="s">
        <v>1387</v>
      </c>
      <c r="B53" s="450"/>
      <c r="C53" s="457" t="s">
        <v>1388</v>
      </c>
      <c r="D53" s="452">
        <v>6</v>
      </c>
      <c r="E53" s="453" t="s">
        <v>149</v>
      </c>
      <c r="F53" s="359"/>
      <c r="G53" s="359"/>
      <c r="H53" s="454"/>
      <c r="I53" s="339">
        <f>PRODUCT(D53*F53)</f>
        <v>0</v>
      </c>
      <c r="J53" s="339"/>
      <c r="K53" s="339"/>
    </row>
    <row r="54" spans="1:11" s="455" customFormat="1" ht="15" customHeight="1">
      <c r="A54" s="450"/>
      <c r="B54" s="450" t="s">
        <v>1389</v>
      </c>
      <c r="C54" s="457" t="s">
        <v>1390</v>
      </c>
      <c r="D54" s="452">
        <v>6</v>
      </c>
      <c r="E54" s="453" t="s">
        <v>149</v>
      </c>
      <c r="F54" s="359"/>
      <c r="G54" s="359"/>
      <c r="H54" s="454"/>
      <c r="I54" s="339"/>
      <c r="J54" s="339">
        <f>PRODUCT(D54*G54)</f>
        <v>0</v>
      </c>
      <c r="K54" s="339"/>
    </row>
    <row r="55" spans="1:11" s="442" customFormat="1" ht="15" customHeight="1">
      <c r="A55" s="458"/>
      <c r="B55" s="458"/>
      <c r="C55" s="459" t="s">
        <v>1391</v>
      </c>
      <c r="D55" s="460"/>
      <c r="E55" s="461"/>
      <c r="F55" s="361"/>
      <c r="G55" s="361"/>
      <c r="H55" s="462">
        <f>SUM(F53:G54)</f>
        <v>0</v>
      </c>
      <c r="I55" s="340"/>
      <c r="J55" s="340"/>
      <c r="K55" s="340">
        <f>SUM(I53:J54)</f>
        <v>0</v>
      </c>
    </row>
    <row r="56" spans="1:11" s="455" customFormat="1" ht="15" customHeight="1">
      <c r="A56" s="450"/>
      <c r="B56" s="450"/>
      <c r="C56" s="463"/>
      <c r="D56" s="452"/>
      <c r="E56" s="453"/>
      <c r="F56" s="360"/>
      <c r="G56" s="360"/>
      <c r="H56" s="464"/>
      <c r="I56" s="339"/>
      <c r="J56" s="339"/>
      <c r="K56" s="339"/>
    </row>
    <row r="57" spans="1:11" s="455" customFormat="1" ht="15" customHeight="1">
      <c r="A57" s="450" t="s">
        <v>1392</v>
      </c>
      <c r="B57" s="450"/>
      <c r="C57" s="457" t="s">
        <v>1393</v>
      </c>
      <c r="D57" s="452">
        <v>2</v>
      </c>
      <c r="E57" s="453" t="s">
        <v>149</v>
      </c>
      <c r="F57" s="359"/>
      <c r="G57" s="359"/>
      <c r="H57" s="454"/>
      <c r="I57" s="339">
        <f>PRODUCT(D57*F57)</f>
        <v>0</v>
      </c>
      <c r="J57" s="339"/>
      <c r="K57" s="339"/>
    </row>
    <row r="58" spans="1:11" s="455" customFormat="1" ht="15" customHeight="1">
      <c r="A58" s="450"/>
      <c r="B58" s="450" t="s">
        <v>1394</v>
      </c>
      <c r="C58" s="457" t="s">
        <v>1395</v>
      </c>
      <c r="D58" s="452">
        <v>2</v>
      </c>
      <c r="E58" s="453" t="s">
        <v>149</v>
      </c>
      <c r="F58" s="359"/>
      <c r="G58" s="359"/>
      <c r="H58" s="454"/>
      <c r="I58" s="339"/>
      <c r="J58" s="339">
        <f>PRODUCT(D58*G58)</f>
        <v>0</v>
      </c>
      <c r="K58" s="339"/>
    </row>
    <row r="59" spans="1:11" s="442" customFormat="1" ht="15" customHeight="1">
      <c r="A59" s="458"/>
      <c r="B59" s="458"/>
      <c r="C59" s="459" t="s">
        <v>1396</v>
      </c>
      <c r="D59" s="460"/>
      <c r="E59" s="461"/>
      <c r="F59" s="361"/>
      <c r="G59" s="361"/>
      <c r="H59" s="462">
        <f>SUM(F57:G58)</f>
        <v>0</v>
      </c>
      <c r="I59" s="340"/>
      <c r="J59" s="340"/>
      <c r="K59" s="340">
        <f>SUM(I57:J58)</f>
        <v>0</v>
      </c>
    </row>
    <row r="60" spans="1:11" s="455" customFormat="1" ht="15" customHeight="1">
      <c r="A60" s="450"/>
      <c r="B60" s="450"/>
      <c r="C60" s="457"/>
      <c r="D60" s="452"/>
      <c r="E60" s="453"/>
      <c r="F60" s="360"/>
      <c r="G60" s="360"/>
      <c r="H60" s="454"/>
      <c r="I60" s="339"/>
      <c r="J60" s="339"/>
      <c r="K60" s="339"/>
    </row>
    <row r="61" spans="1:11" s="455" customFormat="1" ht="15" customHeight="1">
      <c r="A61" s="450" t="s">
        <v>1397</v>
      </c>
      <c r="B61" s="450"/>
      <c r="C61" s="457" t="s">
        <v>1398</v>
      </c>
      <c r="D61" s="452">
        <v>2</v>
      </c>
      <c r="E61" s="453" t="s">
        <v>149</v>
      </c>
      <c r="F61" s="359"/>
      <c r="G61" s="359"/>
      <c r="H61" s="454"/>
      <c r="I61" s="339">
        <f>PRODUCT(D61*F61)</f>
        <v>0</v>
      </c>
      <c r="J61" s="339"/>
      <c r="K61" s="339"/>
    </row>
    <row r="62" spans="1:11" s="455" customFormat="1" ht="15" customHeight="1">
      <c r="A62" s="450" t="s">
        <v>1399</v>
      </c>
      <c r="B62" s="450"/>
      <c r="C62" s="457" t="s">
        <v>1400</v>
      </c>
      <c r="D62" s="452">
        <v>1</v>
      </c>
      <c r="E62" s="453" t="s">
        <v>149</v>
      </c>
      <c r="F62" s="359"/>
      <c r="G62" s="359"/>
      <c r="H62" s="454"/>
      <c r="I62" s="339">
        <f>PRODUCT(D62*F62)</f>
        <v>0</v>
      </c>
      <c r="J62" s="339"/>
      <c r="K62" s="339"/>
    </row>
    <row r="63" spans="1:11" s="455" customFormat="1" ht="15" customHeight="1">
      <c r="A63" s="450"/>
      <c r="B63" s="450" t="s">
        <v>1394</v>
      </c>
      <c r="C63" s="457" t="s">
        <v>1401</v>
      </c>
      <c r="D63" s="452">
        <f>SUM(D61:D62)</f>
        <v>3</v>
      </c>
      <c r="E63" s="453" t="s">
        <v>149</v>
      </c>
      <c r="F63" s="359"/>
      <c r="G63" s="359"/>
      <c r="H63" s="454"/>
      <c r="I63" s="339"/>
      <c r="J63" s="339">
        <f>PRODUCT(D63*G63)</f>
        <v>0</v>
      </c>
      <c r="K63" s="339"/>
    </row>
    <row r="64" spans="1:11" s="442" customFormat="1" ht="15" customHeight="1">
      <c r="A64" s="458"/>
      <c r="B64" s="458"/>
      <c r="C64" s="459" t="s">
        <v>1402</v>
      </c>
      <c r="D64" s="460"/>
      <c r="E64" s="461"/>
      <c r="F64" s="361"/>
      <c r="G64" s="361"/>
      <c r="H64" s="462">
        <f>SUM(F61:G63)</f>
        <v>0</v>
      </c>
      <c r="I64" s="340"/>
      <c r="J64" s="340"/>
      <c r="K64" s="340">
        <f>SUM(I61:J63)</f>
        <v>0</v>
      </c>
    </row>
    <row r="65" spans="1:11" s="455" customFormat="1" ht="15" customHeight="1">
      <c r="A65" s="450"/>
      <c r="B65" s="450"/>
      <c r="C65" s="457"/>
      <c r="D65" s="452"/>
      <c r="E65" s="453"/>
      <c r="F65" s="360"/>
      <c r="G65" s="360"/>
      <c r="H65" s="454"/>
      <c r="I65" s="339"/>
      <c r="J65" s="339"/>
      <c r="K65" s="339"/>
    </row>
    <row r="66" spans="1:11" s="455" customFormat="1" ht="15" customHeight="1">
      <c r="A66" s="450" t="s">
        <v>1403</v>
      </c>
      <c r="B66" s="450"/>
      <c r="C66" s="457" t="s">
        <v>1404</v>
      </c>
      <c r="D66" s="452">
        <v>4</v>
      </c>
      <c r="E66" s="453" t="s">
        <v>149</v>
      </c>
      <c r="F66" s="359"/>
      <c r="G66" s="359"/>
      <c r="H66" s="454"/>
      <c r="I66" s="339">
        <f>PRODUCT(D66*F66)</f>
        <v>0</v>
      </c>
      <c r="J66" s="339"/>
      <c r="K66" s="339"/>
    </row>
    <row r="67" spans="1:11" s="455" customFormat="1" ht="15" customHeight="1">
      <c r="A67" s="450" t="s">
        <v>161</v>
      </c>
      <c r="B67" s="450"/>
      <c r="C67" s="457" t="s">
        <v>1405</v>
      </c>
      <c r="D67" s="452">
        <v>4</v>
      </c>
      <c r="E67" s="453" t="s">
        <v>149</v>
      </c>
      <c r="F67" s="359"/>
      <c r="G67" s="359"/>
      <c r="H67" s="454"/>
      <c r="I67" s="339">
        <f>PRODUCT(D67*F67)</f>
        <v>0</v>
      </c>
      <c r="J67" s="339"/>
      <c r="K67" s="339"/>
    </row>
    <row r="68" spans="1:11" s="455" customFormat="1" ht="15" customHeight="1">
      <c r="A68" s="450"/>
      <c r="B68" s="450" t="s">
        <v>1394</v>
      </c>
      <c r="C68" s="457" t="s">
        <v>1401</v>
      </c>
      <c r="D68" s="452">
        <f>SUM(D66:D67)</f>
        <v>8</v>
      </c>
      <c r="E68" s="453" t="s">
        <v>149</v>
      </c>
      <c r="F68" s="359"/>
      <c r="G68" s="359"/>
      <c r="H68" s="454"/>
      <c r="I68" s="339"/>
      <c r="J68" s="339">
        <f>PRODUCT(D68*G68)</f>
        <v>0</v>
      </c>
      <c r="K68" s="339"/>
    </row>
    <row r="69" spans="1:11" s="442" customFormat="1" ht="15" customHeight="1">
      <c r="A69" s="458"/>
      <c r="B69" s="458"/>
      <c r="C69" s="459" t="s">
        <v>1406</v>
      </c>
      <c r="D69" s="460"/>
      <c r="E69" s="461"/>
      <c r="F69" s="361"/>
      <c r="G69" s="361"/>
      <c r="H69" s="462">
        <f>SUM(F66:G68)</f>
        <v>0</v>
      </c>
      <c r="I69" s="340"/>
      <c r="J69" s="340"/>
      <c r="K69" s="340">
        <f>SUM(I66:J68)</f>
        <v>0</v>
      </c>
    </row>
    <row r="70" spans="1:11" s="455" customFormat="1" ht="15" customHeight="1">
      <c r="A70" s="450"/>
      <c r="B70" s="450"/>
      <c r="C70" s="457"/>
      <c r="D70" s="452"/>
      <c r="E70" s="453"/>
      <c r="F70" s="360"/>
      <c r="G70" s="360"/>
      <c r="H70" s="454"/>
      <c r="I70" s="339"/>
      <c r="J70" s="339"/>
      <c r="K70" s="339"/>
    </row>
    <row r="71" spans="1:11" s="455" customFormat="1" ht="15" customHeight="1">
      <c r="A71" s="450" t="s">
        <v>162</v>
      </c>
      <c r="B71" s="450"/>
      <c r="C71" s="457" t="s">
        <v>1407</v>
      </c>
      <c r="D71" s="452">
        <v>2</v>
      </c>
      <c r="E71" s="453" t="s">
        <v>149</v>
      </c>
      <c r="F71" s="359"/>
      <c r="G71" s="359"/>
      <c r="H71" s="454"/>
      <c r="I71" s="339">
        <f>PRODUCT(D71*F71)</f>
        <v>0</v>
      </c>
      <c r="J71" s="339"/>
      <c r="K71" s="339"/>
    </row>
    <row r="72" spans="1:11" s="455" customFormat="1" ht="15" customHeight="1">
      <c r="A72" s="450"/>
      <c r="B72" s="450" t="s">
        <v>1394</v>
      </c>
      <c r="C72" s="457" t="s">
        <v>1408</v>
      </c>
      <c r="D72" s="452">
        <v>2</v>
      </c>
      <c r="E72" s="453" t="s">
        <v>149</v>
      </c>
      <c r="F72" s="359"/>
      <c r="G72" s="359"/>
      <c r="H72" s="454"/>
      <c r="I72" s="339"/>
      <c r="J72" s="339">
        <f>PRODUCT(D72*G72)</f>
        <v>0</v>
      </c>
      <c r="K72" s="339"/>
    </row>
    <row r="73" spans="1:11" s="442" customFormat="1" ht="15" customHeight="1">
      <c r="A73" s="458"/>
      <c r="B73" s="458"/>
      <c r="C73" s="459" t="s">
        <v>1396</v>
      </c>
      <c r="D73" s="460"/>
      <c r="E73" s="461"/>
      <c r="F73" s="361"/>
      <c r="G73" s="361"/>
      <c r="H73" s="462">
        <f>SUM(F71:G72)</f>
        <v>0</v>
      </c>
      <c r="I73" s="340"/>
      <c r="J73" s="340"/>
      <c r="K73" s="340">
        <f>SUM(I71:J72)</f>
        <v>0</v>
      </c>
    </row>
    <row r="74" spans="1:11" s="455" customFormat="1" ht="15" customHeight="1">
      <c r="A74" s="450"/>
      <c r="B74" s="450"/>
      <c r="C74" s="457"/>
      <c r="D74" s="452"/>
      <c r="E74" s="453"/>
      <c r="F74" s="360"/>
      <c r="G74" s="360"/>
      <c r="H74" s="454"/>
      <c r="I74" s="339"/>
      <c r="J74" s="339"/>
      <c r="K74" s="339"/>
    </row>
    <row r="75" spans="1:11" s="455" customFormat="1" ht="15" customHeight="1">
      <c r="A75" s="450" t="s">
        <v>2274</v>
      </c>
      <c r="B75" s="450"/>
      <c r="C75" s="457" t="s">
        <v>2275</v>
      </c>
      <c r="D75" s="452">
        <v>2</v>
      </c>
      <c r="E75" s="453" t="s">
        <v>149</v>
      </c>
      <c r="F75" s="359"/>
      <c r="G75" s="359"/>
      <c r="H75" s="454"/>
      <c r="I75" s="339">
        <f>PRODUCT(D75*F75)</f>
        <v>0</v>
      </c>
      <c r="J75" s="339"/>
      <c r="K75" s="339"/>
    </row>
    <row r="76" spans="1:11" s="455" customFormat="1" ht="15" customHeight="1">
      <c r="A76" s="450"/>
      <c r="B76" s="450" t="s">
        <v>2276</v>
      </c>
      <c r="C76" s="457" t="s">
        <v>1442</v>
      </c>
      <c r="D76" s="452">
        <v>2</v>
      </c>
      <c r="E76" s="453" t="s">
        <v>149</v>
      </c>
      <c r="F76" s="359"/>
      <c r="G76" s="359"/>
      <c r="H76" s="454"/>
      <c r="I76" s="339"/>
      <c r="J76" s="339">
        <f>PRODUCT(D76*G76)</f>
        <v>0</v>
      </c>
      <c r="K76" s="339"/>
    </row>
    <row r="77" spans="1:11" s="442" customFormat="1" ht="15" customHeight="1">
      <c r="A77" s="458"/>
      <c r="B77" s="458"/>
      <c r="C77" s="459" t="s">
        <v>2277</v>
      </c>
      <c r="D77" s="460"/>
      <c r="E77" s="461"/>
      <c r="F77" s="361"/>
      <c r="G77" s="361"/>
      <c r="H77" s="462">
        <f>SUM(F75:G76)</f>
        <v>0</v>
      </c>
      <c r="I77" s="340"/>
      <c r="J77" s="340"/>
      <c r="K77" s="340">
        <f>SUM(I75:J76)</f>
        <v>0</v>
      </c>
    </row>
    <row r="78" spans="1:11" s="455" customFormat="1" ht="15" customHeight="1">
      <c r="A78" s="450"/>
      <c r="B78" s="450"/>
      <c r="C78" s="463"/>
      <c r="D78" s="452"/>
      <c r="E78" s="453"/>
      <c r="F78" s="360"/>
      <c r="G78" s="360"/>
      <c r="H78" s="464"/>
      <c r="I78" s="339"/>
      <c r="J78" s="339"/>
      <c r="K78" s="339"/>
    </row>
    <row r="79" spans="1:11" s="455" customFormat="1" ht="15.75" customHeight="1">
      <c r="A79" s="471"/>
      <c r="B79" s="450"/>
      <c r="C79" s="472" t="s">
        <v>1409</v>
      </c>
      <c r="D79" s="452">
        <v>15</v>
      </c>
      <c r="E79" s="465" t="s">
        <v>70</v>
      </c>
      <c r="F79" s="359"/>
      <c r="G79" s="359"/>
      <c r="H79" s="464"/>
      <c r="I79" s="339">
        <f>PRODUCT(D79*F79)</f>
        <v>0</v>
      </c>
      <c r="J79" s="339"/>
      <c r="K79" s="339"/>
    </row>
    <row r="80" spans="1:11" s="455" customFormat="1" ht="15.75" customHeight="1">
      <c r="A80" s="471"/>
      <c r="B80" s="450"/>
      <c r="C80" s="472" t="s">
        <v>1410</v>
      </c>
      <c r="D80" s="452">
        <v>10</v>
      </c>
      <c r="E80" s="465" t="s">
        <v>70</v>
      </c>
      <c r="F80" s="359"/>
      <c r="G80" s="359"/>
      <c r="H80" s="464"/>
      <c r="I80" s="339">
        <f>PRODUCT(D80*F80)</f>
        <v>0</v>
      </c>
      <c r="J80" s="339"/>
      <c r="K80" s="339"/>
    </row>
    <row r="81" spans="1:11" s="455" customFormat="1" ht="15" customHeight="1">
      <c r="A81" s="471"/>
      <c r="B81" s="450"/>
      <c r="C81" s="472" t="s">
        <v>1411</v>
      </c>
      <c r="D81" s="452">
        <v>5</v>
      </c>
      <c r="E81" s="465" t="s">
        <v>70</v>
      </c>
      <c r="F81" s="359"/>
      <c r="G81" s="359"/>
      <c r="H81" s="464"/>
      <c r="I81" s="339">
        <f>PRODUCT(D81*F81)</f>
        <v>0</v>
      </c>
      <c r="J81" s="339"/>
      <c r="K81" s="339"/>
    </row>
    <row r="82" spans="1:11" s="455" customFormat="1" ht="15" customHeight="1">
      <c r="A82" s="471"/>
      <c r="B82" s="450"/>
      <c r="C82" s="472" t="s">
        <v>1412</v>
      </c>
      <c r="D82" s="452">
        <v>2</v>
      </c>
      <c r="E82" s="465" t="s">
        <v>70</v>
      </c>
      <c r="F82" s="359"/>
      <c r="G82" s="359"/>
      <c r="H82" s="464"/>
      <c r="I82" s="339">
        <f>PRODUCT(D82*F82)</f>
        <v>0</v>
      </c>
      <c r="J82" s="339"/>
      <c r="K82" s="339"/>
    </row>
    <row r="83" spans="1:11" s="455" customFormat="1" ht="15" customHeight="1">
      <c r="A83" s="450"/>
      <c r="B83" s="473" t="s">
        <v>1413</v>
      </c>
      <c r="C83" s="472" t="s">
        <v>1414</v>
      </c>
      <c r="D83" s="452">
        <f>SUM(D79:D82)</f>
        <v>32</v>
      </c>
      <c r="E83" s="465" t="s">
        <v>70</v>
      </c>
      <c r="F83" s="359"/>
      <c r="G83" s="359"/>
      <c r="H83" s="464"/>
      <c r="I83" s="339"/>
      <c r="J83" s="339">
        <f>PRODUCT(D83*G83)</f>
        <v>0</v>
      </c>
      <c r="K83" s="339"/>
    </row>
    <row r="84" spans="1:11" s="442" customFormat="1" ht="15" customHeight="1">
      <c r="A84" s="458"/>
      <c r="B84" s="458"/>
      <c r="C84" s="459" t="s">
        <v>1415</v>
      </c>
      <c r="D84" s="460"/>
      <c r="E84" s="461"/>
      <c r="F84" s="361"/>
      <c r="G84" s="361"/>
      <c r="H84" s="462">
        <f>SUM(F79:G83)</f>
        <v>0</v>
      </c>
      <c r="I84" s="340"/>
      <c r="J84" s="340"/>
      <c r="K84" s="340">
        <f>SUM(I79:J83)</f>
        <v>0</v>
      </c>
    </row>
    <row r="85" spans="1:11" s="455" customFormat="1" ht="15" customHeight="1">
      <c r="A85" s="450"/>
      <c r="B85" s="450"/>
      <c r="C85" s="463"/>
      <c r="D85" s="452"/>
      <c r="E85" s="453"/>
      <c r="F85" s="360"/>
      <c r="G85" s="360"/>
      <c r="H85" s="464"/>
      <c r="I85" s="339"/>
      <c r="J85" s="339"/>
      <c r="K85" s="339"/>
    </row>
    <row r="86" spans="1:11" s="455" customFormat="1" ht="15" customHeight="1">
      <c r="A86" s="450"/>
      <c r="B86" s="450"/>
      <c r="C86" s="472" t="s">
        <v>1416</v>
      </c>
      <c r="D86" s="452">
        <v>45</v>
      </c>
      <c r="E86" s="465" t="s">
        <v>1417</v>
      </c>
      <c r="F86" s="359"/>
      <c r="G86" s="359"/>
      <c r="H86" s="464"/>
      <c r="I86" s="339">
        <f>PRODUCT(D86*F86)</f>
        <v>0</v>
      </c>
      <c r="J86" s="339"/>
      <c r="K86" s="339"/>
    </row>
    <row r="87" spans="1:11" s="455" customFormat="1" ht="15" customHeight="1">
      <c r="A87" s="450"/>
      <c r="B87" s="450"/>
      <c r="C87" s="472" t="s">
        <v>1418</v>
      </c>
      <c r="D87" s="452">
        <v>50</v>
      </c>
      <c r="E87" s="465" t="s">
        <v>1417</v>
      </c>
      <c r="F87" s="359"/>
      <c r="G87" s="359"/>
      <c r="H87" s="464"/>
      <c r="I87" s="339">
        <f>PRODUCT(D87*F87)</f>
        <v>0</v>
      </c>
      <c r="J87" s="339"/>
      <c r="K87" s="339"/>
    </row>
    <row r="88" spans="1:11" s="455" customFormat="1" ht="15" customHeight="1">
      <c r="A88" s="450"/>
      <c r="B88" s="450"/>
      <c r="C88" s="472" t="s">
        <v>1419</v>
      </c>
      <c r="D88" s="452">
        <v>35</v>
      </c>
      <c r="E88" s="465" t="s">
        <v>1417</v>
      </c>
      <c r="F88" s="359"/>
      <c r="G88" s="359"/>
      <c r="H88" s="464"/>
      <c r="I88" s="339">
        <f>PRODUCT(D88*F88)</f>
        <v>0</v>
      </c>
      <c r="J88" s="339"/>
      <c r="K88" s="339"/>
    </row>
    <row r="89" spans="1:11" s="455" customFormat="1" ht="15" customHeight="1">
      <c r="A89" s="450"/>
      <c r="B89" s="450"/>
      <c r="C89" s="472" t="s">
        <v>1420</v>
      </c>
      <c r="D89" s="452">
        <v>5</v>
      </c>
      <c r="E89" s="465" t="s">
        <v>1417</v>
      </c>
      <c r="F89" s="359"/>
      <c r="G89" s="359"/>
      <c r="H89" s="464"/>
      <c r="I89" s="339">
        <f>PRODUCT(D89*F89)</f>
        <v>0</v>
      </c>
      <c r="J89" s="339"/>
      <c r="K89" s="339"/>
    </row>
    <row r="90" spans="1:11" s="455" customFormat="1" ht="15" customHeight="1">
      <c r="A90" s="450"/>
      <c r="B90" s="450" t="s">
        <v>1421</v>
      </c>
      <c r="C90" s="472" t="s">
        <v>1422</v>
      </c>
      <c r="D90" s="452">
        <f>SUM(D86:D87)</f>
        <v>95</v>
      </c>
      <c r="E90" s="465" t="s">
        <v>1417</v>
      </c>
      <c r="F90" s="359"/>
      <c r="G90" s="359"/>
      <c r="H90" s="464"/>
      <c r="I90" s="339"/>
      <c r="J90" s="339">
        <f>PRODUCT(D90*G90)</f>
        <v>0</v>
      </c>
      <c r="K90" s="339"/>
    </row>
    <row r="91" spans="1:11" s="442" customFormat="1" ht="15" customHeight="1">
      <c r="A91" s="458"/>
      <c r="B91" s="458"/>
      <c r="C91" s="459" t="s">
        <v>1423</v>
      </c>
      <c r="D91" s="460"/>
      <c r="E91" s="461"/>
      <c r="F91" s="361"/>
      <c r="G91" s="361"/>
      <c r="H91" s="462">
        <f>SUM(F86:G90)</f>
        <v>0</v>
      </c>
      <c r="I91" s="340"/>
      <c r="J91" s="340"/>
      <c r="K91" s="340">
        <f>SUM(I86:J90)</f>
        <v>0</v>
      </c>
    </row>
    <row r="92" spans="1:11" s="455" customFormat="1" ht="15" customHeight="1">
      <c r="A92" s="450"/>
      <c r="B92" s="450"/>
      <c r="C92" s="463"/>
      <c r="D92" s="452"/>
      <c r="E92" s="453"/>
      <c r="F92" s="360"/>
      <c r="G92" s="360"/>
      <c r="H92" s="464"/>
      <c r="I92" s="339"/>
      <c r="J92" s="339"/>
      <c r="K92" s="339"/>
    </row>
    <row r="93" spans="1:11" s="442" customFormat="1" ht="15" customHeight="1">
      <c r="A93" s="474"/>
      <c r="B93" s="475"/>
      <c r="C93" s="476" t="s">
        <v>1424</v>
      </c>
      <c r="D93" s="477">
        <v>30</v>
      </c>
      <c r="E93" s="473" t="s">
        <v>1425</v>
      </c>
      <c r="F93" s="363"/>
      <c r="G93" s="364"/>
      <c r="H93" s="478"/>
      <c r="I93" s="342">
        <f>D93*F93</f>
        <v>0</v>
      </c>
      <c r="J93" s="343"/>
      <c r="K93" s="344"/>
    </row>
    <row r="94" spans="1:11" s="442" customFormat="1" ht="15" customHeight="1">
      <c r="A94" s="479"/>
      <c r="B94" s="475"/>
      <c r="C94" s="480" t="s">
        <v>1426</v>
      </c>
      <c r="D94" s="477">
        <v>30</v>
      </c>
      <c r="E94" s="473" t="s">
        <v>1425</v>
      </c>
      <c r="F94" s="363"/>
      <c r="G94" s="365"/>
      <c r="H94" s="481"/>
      <c r="I94" s="342"/>
      <c r="J94" s="342">
        <f>D94*G94</f>
        <v>0</v>
      </c>
      <c r="K94" s="342"/>
    </row>
    <row r="95" spans="1:11" s="442" customFormat="1" ht="15" customHeight="1">
      <c r="A95" s="458"/>
      <c r="B95" s="458"/>
      <c r="C95" s="459" t="s">
        <v>1427</v>
      </c>
      <c r="D95" s="460"/>
      <c r="E95" s="461"/>
      <c r="F95" s="361"/>
      <c r="G95" s="361"/>
      <c r="H95" s="462">
        <f>SUM(F93:G94)</f>
        <v>0</v>
      </c>
      <c r="I95" s="340"/>
      <c r="J95" s="340"/>
      <c r="K95" s="340">
        <f>SUM(I93:J94)</f>
        <v>0</v>
      </c>
    </row>
    <row r="96" spans="1:11" s="455" customFormat="1" ht="15" customHeight="1">
      <c r="A96" s="450"/>
      <c r="B96" s="450"/>
      <c r="C96" s="463"/>
      <c r="D96" s="452"/>
      <c r="E96" s="453"/>
      <c r="F96" s="360"/>
      <c r="G96" s="360"/>
      <c r="H96" s="464"/>
      <c r="I96" s="339"/>
      <c r="J96" s="339"/>
      <c r="K96" s="339"/>
    </row>
    <row r="97" spans="1:11" s="442" customFormat="1" ht="15" customHeight="1">
      <c r="A97" s="474"/>
      <c r="B97" s="475"/>
      <c r="C97" s="476" t="s">
        <v>1428</v>
      </c>
      <c r="D97" s="477">
        <v>60</v>
      </c>
      <c r="E97" s="473" t="s">
        <v>1425</v>
      </c>
      <c r="F97" s="363"/>
      <c r="G97" s="364"/>
      <c r="H97" s="478"/>
      <c r="I97" s="342">
        <f>D97*F97</f>
        <v>0</v>
      </c>
      <c r="J97" s="343"/>
      <c r="K97" s="344"/>
    </row>
    <row r="98" spans="1:11" s="442" customFormat="1" ht="15" customHeight="1">
      <c r="A98" s="479"/>
      <c r="B98" s="475"/>
      <c r="C98" s="480" t="s">
        <v>1429</v>
      </c>
      <c r="D98" s="477">
        <v>60</v>
      </c>
      <c r="E98" s="473" t="s">
        <v>1425</v>
      </c>
      <c r="F98" s="363"/>
      <c r="G98" s="365"/>
      <c r="H98" s="481"/>
      <c r="I98" s="342"/>
      <c r="J98" s="342">
        <f>D98*G98</f>
        <v>0</v>
      </c>
      <c r="K98" s="342"/>
    </row>
    <row r="99" spans="1:11" s="442" customFormat="1" ht="15" customHeight="1">
      <c r="A99" s="458"/>
      <c r="B99" s="458"/>
      <c r="C99" s="459" t="s">
        <v>1423</v>
      </c>
      <c r="D99" s="460"/>
      <c r="E99" s="461"/>
      <c r="F99" s="361"/>
      <c r="G99" s="361"/>
      <c r="H99" s="462">
        <f>SUM(F97:G98)</f>
        <v>0</v>
      </c>
      <c r="I99" s="340"/>
      <c r="J99" s="340"/>
      <c r="K99" s="340">
        <f>SUM(I97:J98)</f>
        <v>0</v>
      </c>
    </row>
    <row r="100" spans="1:11" s="455" customFormat="1" ht="15" customHeight="1">
      <c r="A100" s="450"/>
      <c r="B100" s="450"/>
      <c r="C100" s="482"/>
      <c r="D100" s="452"/>
      <c r="E100" s="453"/>
      <c r="F100" s="360"/>
      <c r="G100" s="360"/>
      <c r="H100" s="464"/>
      <c r="I100" s="339"/>
      <c r="J100" s="339"/>
      <c r="K100" s="339"/>
    </row>
    <row r="101" spans="1:11" s="442" customFormat="1" ht="15" customHeight="1">
      <c r="A101" s="447" t="s">
        <v>1430</v>
      </c>
      <c r="B101" s="448"/>
      <c r="C101" s="449"/>
      <c r="D101" s="448"/>
      <c r="E101" s="448"/>
      <c r="F101" s="358"/>
      <c r="G101" s="358"/>
      <c r="H101" s="448"/>
      <c r="I101" s="337"/>
      <c r="J101" s="337"/>
      <c r="K101" s="338"/>
    </row>
    <row r="102" spans="1:11" s="455" customFormat="1" ht="15" customHeight="1">
      <c r="A102" s="450" t="s">
        <v>1431</v>
      </c>
      <c r="B102" s="450"/>
      <c r="C102" s="451" t="s">
        <v>1432</v>
      </c>
      <c r="D102" s="452">
        <v>1</v>
      </c>
      <c r="E102" s="453" t="s">
        <v>149</v>
      </c>
      <c r="F102" s="359"/>
      <c r="G102" s="359"/>
      <c r="H102" s="454"/>
      <c r="I102" s="339">
        <f>PRODUCT(D102*F102)</f>
        <v>0</v>
      </c>
      <c r="J102" s="339"/>
      <c r="K102" s="339"/>
    </row>
    <row r="103" spans="1:11" s="455" customFormat="1" ht="15" customHeight="1">
      <c r="A103" s="450"/>
      <c r="B103" s="450"/>
      <c r="C103" s="451" t="s">
        <v>1433</v>
      </c>
      <c r="D103" s="452"/>
      <c r="E103" s="453"/>
      <c r="F103" s="360"/>
      <c r="G103" s="360"/>
      <c r="H103" s="454"/>
      <c r="I103" s="339"/>
      <c r="J103" s="339"/>
      <c r="K103" s="339"/>
    </row>
    <row r="104" spans="1:11" s="455" customFormat="1" ht="15" customHeight="1">
      <c r="A104" s="450"/>
      <c r="B104" s="450"/>
      <c r="C104" s="451" t="s">
        <v>1434</v>
      </c>
      <c r="D104" s="452"/>
      <c r="E104" s="453"/>
      <c r="F104" s="360"/>
      <c r="G104" s="360"/>
      <c r="H104" s="454"/>
      <c r="I104" s="339"/>
      <c r="J104" s="339"/>
      <c r="K104" s="339"/>
    </row>
    <row r="105" spans="1:11" s="455" customFormat="1" ht="15" customHeight="1">
      <c r="A105" s="450"/>
      <c r="B105" s="450"/>
      <c r="C105" s="456" t="s">
        <v>1435</v>
      </c>
      <c r="D105" s="452"/>
      <c r="E105" s="453"/>
      <c r="F105" s="360"/>
      <c r="G105" s="360"/>
      <c r="H105" s="454"/>
      <c r="I105" s="339"/>
      <c r="J105" s="339"/>
      <c r="K105" s="339"/>
    </row>
    <row r="106" spans="1:11" s="455" customFormat="1" ht="15" customHeight="1">
      <c r="A106" s="450"/>
      <c r="B106" s="450"/>
      <c r="C106" s="456" t="s">
        <v>1356</v>
      </c>
      <c r="D106" s="452"/>
      <c r="E106" s="453"/>
      <c r="F106" s="360"/>
      <c r="G106" s="360"/>
      <c r="H106" s="454"/>
      <c r="I106" s="339"/>
      <c r="J106" s="339"/>
      <c r="K106" s="339"/>
    </row>
    <row r="107" spans="1:11" s="455" customFormat="1" ht="15" customHeight="1">
      <c r="A107" s="450"/>
      <c r="B107" s="450"/>
      <c r="C107" s="457" t="s">
        <v>1436</v>
      </c>
      <c r="D107" s="452"/>
      <c r="E107" s="453"/>
      <c r="F107" s="360"/>
      <c r="G107" s="360"/>
      <c r="H107" s="454"/>
      <c r="I107" s="339"/>
      <c r="J107" s="339"/>
      <c r="K107" s="339"/>
    </row>
    <row r="108" spans="1:11" s="455" customFormat="1" ht="15" customHeight="1">
      <c r="A108" s="450"/>
      <c r="B108" s="450"/>
      <c r="C108" s="457" t="s">
        <v>1359</v>
      </c>
      <c r="D108" s="452"/>
      <c r="E108" s="453"/>
      <c r="F108" s="360"/>
      <c r="G108" s="360"/>
      <c r="H108" s="454"/>
      <c r="I108" s="339"/>
      <c r="J108" s="339"/>
      <c r="K108" s="339"/>
    </row>
    <row r="109" spans="1:11" s="455" customFormat="1" ht="15" customHeight="1">
      <c r="A109" s="450"/>
      <c r="B109" s="450"/>
      <c r="C109" s="457" t="s">
        <v>1360</v>
      </c>
      <c r="D109" s="452">
        <v>1</v>
      </c>
      <c r="E109" s="453" t="s">
        <v>75</v>
      </c>
      <c r="F109" s="359"/>
      <c r="G109" s="359"/>
      <c r="H109" s="454"/>
      <c r="I109" s="339"/>
      <c r="J109" s="339">
        <f>PRODUCT(D109*G109)</f>
        <v>0</v>
      </c>
      <c r="K109" s="339"/>
    </row>
    <row r="110" spans="1:11" s="455" customFormat="1" ht="15" customHeight="1">
      <c r="A110" s="450"/>
      <c r="B110" s="450" t="s">
        <v>1361</v>
      </c>
      <c r="C110" s="457" t="s">
        <v>1362</v>
      </c>
      <c r="D110" s="452">
        <v>1</v>
      </c>
      <c r="E110" s="453" t="s">
        <v>149</v>
      </c>
      <c r="F110" s="359"/>
      <c r="G110" s="359"/>
      <c r="H110" s="454"/>
      <c r="I110" s="339"/>
      <c r="J110" s="339">
        <f>PRODUCT(D110*G110)</f>
        <v>0</v>
      </c>
      <c r="K110" s="339"/>
    </row>
    <row r="111" spans="1:11" s="442" customFormat="1" ht="15" customHeight="1">
      <c r="A111" s="458"/>
      <c r="B111" s="458"/>
      <c r="C111" s="459" t="s">
        <v>1437</v>
      </c>
      <c r="D111" s="460"/>
      <c r="E111" s="461"/>
      <c r="F111" s="361"/>
      <c r="G111" s="361"/>
      <c r="H111" s="462">
        <f>SUM(F102:G110)</f>
        <v>0</v>
      </c>
      <c r="I111" s="340"/>
      <c r="J111" s="340"/>
      <c r="K111" s="340">
        <f>SUM(I102:J110)</f>
        <v>0</v>
      </c>
    </row>
    <row r="112" spans="1:11" s="455" customFormat="1" ht="15" customHeight="1">
      <c r="A112" s="450"/>
      <c r="B112" s="450"/>
      <c r="C112" s="463"/>
      <c r="D112" s="452"/>
      <c r="E112" s="453"/>
      <c r="F112" s="360"/>
      <c r="G112" s="360"/>
      <c r="H112" s="464"/>
      <c r="I112" s="339"/>
      <c r="J112" s="339"/>
      <c r="K112" s="339"/>
    </row>
    <row r="113" spans="1:11" s="455" customFormat="1" ht="15" customHeight="1">
      <c r="A113" s="450" t="s">
        <v>1438</v>
      </c>
      <c r="B113" s="450"/>
      <c r="C113" s="457" t="s">
        <v>1365</v>
      </c>
      <c r="D113" s="452">
        <v>1</v>
      </c>
      <c r="E113" s="453" t="s">
        <v>149</v>
      </c>
      <c r="F113" s="359"/>
      <c r="G113" s="359"/>
      <c r="H113" s="454"/>
      <c r="I113" s="339">
        <f>PRODUCT(D113*F113)</f>
        <v>0</v>
      </c>
      <c r="J113" s="339"/>
      <c r="K113" s="339"/>
    </row>
    <row r="114" spans="1:11" s="455" customFormat="1" ht="15" customHeight="1">
      <c r="A114" s="450"/>
      <c r="B114" s="450"/>
      <c r="C114" s="456" t="s">
        <v>1366</v>
      </c>
      <c r="D114" s="452"/>
      <c r="E114" s="453"/>
      <c r="F114" s="360"/>
      <c r="G114" s="360"/>
      <c r="H114" s="454"/>
      <c r="I114" s="339"/>
      <c r="J114" s="339"/>
      <c r="K114" s="339"/>
    </row>
    <row r="115" spans="1:11" s="455" customFormat="1" ht="15" customHeight="1">
      <c r="A115" s="450"/>
      <c r="B115" s="450"/>
      <c r="C115" s="456" t="s">
        <v>1367</v>
      </c>
      <c r="D115" s="452"/>
      <c r="E115" s="453"/>
      <c r="F115" s="360"/>
      <c r="G115" s="360"/>
      <c r="H115" s="454"/>
      <c r="I115" s="339"/>
      <c r="J115" s="339"/>
      <c r="K115" s="339"/>
    </row>
    <row r="116" spans="1:11" s="455" customFormat="1" ht="15" customHeight="1">
      <c r="A116" s="450"/>
      <c r="B116" s="450"/>
      <c r="C116" s="457" t="s">
        <v>1368</v>
      </c>
      <c r="D116" s="452">
        <v>1</v>
      </c>
      <c r="E116" s="453" t="s">
        <v>149</v>
      </c>
      <c r="F116" s="359"/>
      <c r="G116" s="359"/>
      <c r="H116" s="454"/>
      <c r="I116" s="339"/>
      <c r="J116" s="339">
        <f>PRODUCT(D116*G116)</f>
        <v>0</v>
      </c>
      <c r="K116" s="339"/>
    </row>
    <row r="117" spans="1:11" s="442" customFormat="1" ht="15" customHeight="1">
      <c r="A117" s="458"/>
      <c r="B117" s="458"/>
      <c r="C117" s="459" t="s">
        <v>1369</v>
      </c>
      <c r="D117" s="460"/>
      <c r="E117" s="461"/>
      <c r="F117" s="361"/>
      <c r="G117" s="361"/>
      <c r="H117" s="462">
        <f>SUM(F113:G116)</f>
        <v>0</v>
      </c>
      <c r="I117" s="340"/>
      <c r="J117" s="340"/>
      <c r="K117" s="340">
        <f>SUM(I113:J116)</f>
        <v>0</v>
      </c>
    </row>
    <row r="118" spans="1:11" s="455" customFormat="1" ht="15" customHeight="1">
      <c r="A118" s="450"/>
      <c r="B118" s="450"/>
      <c r="C118" s="463"/>
      <c r="D118" s="452"/>
      <c r="E118" s="453"/>
      <c r="F118" s="360"/>
      <c r="G118" s="360"/>
      <c r="H118" s="464"/>
      <c r="I118" s="339"/>
      <c r="J118" s="339"/>
      <c r="K118" s="339"/>
    </row>
    <row r="119" spans="1:11" s="455" customFormat="1" ht="15" customHeight="1">
      <c r="A119" s="483" t="s">
        <v>1439</v>
      </c>
      <c r="B119" s="483"/>
      <c r="C119" s="457" t="s">
        <v>1377</v>
      </c>
      <c r="D119" s="465">
        <v>1</v>
      </c>
      <c r="E119" s="453" t="s">
        <v>149</v>
      </c>
      <c r="F119" s="366"/>
      <c r="G119" s="359"/>
      <c r="H119" s="454"/>
      <c r="I119" s="339">
        <f>PRODUCT(D119*F119)</f>
        <v>0</v>
      </c>
      <c r="J119" s="339"/>
      <c r="K119" s="339"/>
    </row>
    <row r="120" spans="1:11" s="455" customFormat="1" ht="15" customHeight="1">
      <c r="A120" s="450"/>
      <c r="B120" s="450"/>
      <c r="C120" s="457" t="s">
        <v>1378</v>
      </c>
      <c r="D120" s="452">
        <v>1</v>
      </c>
      <c r="E120" s="453" t="s">
        <v>149</v>
      </c>
      <c r="F120" s="359"/>
      <c r="G120" s="359"/>
      <c r="H120" s="454"/>
      <c r="I120" s="339"/>
      <c r="J120" s="339">
        <f>PRODUCT(D120*G120)</f>
        <v>0</v>
      </c>
      <c r="K120" s="339"/>
    </row>
    <row r="121" spans="1:11" s="442" customFormat="1" ht="15" customHeight="1">
      <c r="A121" s="484"/>
      <c r="B121" s="484"/>
      <c r="C121" s="459" t="s">
        <v>1379</v>
      </c>
      <c r="D121" s="485"/>
      <c r="E121" s="461"/>
      <c r="F121" s="367"/>
      <c r="G121" s="361"/>
      <c r="H121" s="462">
        <f>SUM(F119:G120)</f>
        <v>0</v>
      </c>
      <c r="I121" s="340"/>
      <c r="J121" s="340"/>
      <c r="K121" s="340">
        <f>SUM(I119:J120)</f>
        <v>0</v>
      </c>
    </row>
    <row r="122" spans="1:11" s="455" customFormat="1" ht="15" customHeight="1">
      <c r="A122" s="450"/>
      <c r="B122" s="450"/>
      <c r="C122" s="463"/>
      <c r="D122" s="452"/>
      <c r="E122" s="453"/>
      <c r="F122" s="360"/>
      <c r="G122" s="360"/>
      <c r="H122" s="464"/>
      <c r="I122" s="339"/>
      <c r="J122" s="339"/>
      <c r="K122" s="339"/>
    </row>
    <row r="123" spans="1:11" s="455" customFormat="1" ht="15" customHeight="1">
      <c r="A123" s="450" t="s">
        <v>1440</v>
      </c>
      <c r="B123" s="450"/>
      <c r="C123" s="457" t="s">
        <v>1441</v>
      </c>
      <c r="D123" s="452">
        <v>2</v>
      </c>
      <c r="E123" s="453" t="s">
        <v>149</v>
      </c>
      <c r="F123" s="359"/>
      <c r="G123" s="359"/>
      <c r="H123" s="454"/>
      <c r="I123" s="339">
        <f>D123*F123</f>
        <v>0</v>
      </c>
      <c r="J123" s="339"/>
      <c r="K123" s="339"/>
    </row>
    <row r="124" spans="1:11" s="455" customFormat="1" ht="15" customHeight="1">
      <c r="A124" s="450"/>
      <c r="B124" s="465" t="s">
        <v>1384</v>
      </c>
      <c r="C124" s="457" t="s">
        <v>1442</v>
      </c>
      <c r="D124" s="452">
        <f>SUM(D123:D123)</f>
        <v>2</v>
      </c>
      <c r="E124" s="453" t="s">
        <v>149</v>
      </c>
      <c r="F124" s="359"/>
      <c r="G124" s="359"/>
      <c r="H124" s="454"/>
      <c r="I124" s="339"/>
      <c r="J124" s="339">
        <f>D124*G124</f>
        <v>0</v>
      </c>
      <c r="K124" s="339"/>
    </row>
    <row r="125" spans="1:11" s="455" customFormat="1" ht="15" customHeight="1">
      <c r="A125" s="466"/>
      <c r="B125" s="466"/>
      <c r="C125" s="459" t="s">
        <v>1443</v>
      </c>
      <c r="D125" s="468"/>
      <c r="E125" s="469"/>
      <c r="F125" s="362"/>
      <c r="G125" s="362"/>
      <c r="H125" s="470">
        <f>SUM(F123:G124)</f>
        <v>0</v>
      </c>
      <c r="I125" s="341"/>
      <c r="J125" s="341"/>
      <c r="K125" s="341">
        <f>SUM(I123:J124)</f>
        <v>0</v>
      </c>
    </row>
    <row r="126" spans="1:11" s="455" customFormat="1" ht="15" customHeight="1">
      <c r="A126" s="450"/>
      <c r="B126" s="450"/>
      <c r="C126" s="463"/>
      <c r="D126" s="452"/>
      <c r="E126" s="453"/>
      <c r="F126" s="360"/>
      <c r="G126" s="360"/>
      <c r="H126" s="464"/>
      <c r="I126" s="339"/>
      <c r="J126" s="339"/>
      <c r="K126" s="339"/>
    </row>
    <row r="127" spans="1:11" s="455" customFormat="1" ht="15" customHeight="1">
      <c r="A127" s="450" t="s">
        <v>1444</v>
      </c>
      <c r="B127" s="450"/>
      <c r="C127" s="457" t="s">
        <v>1445</v>
      </c>
      <c r="D127" s="452">
        <v>4</v>
      </c>
      <c r="E127" s="453" t="s">
        <v>149</v>
      </c>
      <c r="F127" s="359"/>
      <c r="G127" s="359"/>
      <c r="H127" s="454"/>
      <c r="I127" s="339">
        <f>PRODUCT(D127*F127)</f>
        <v>0</v>
      </c>
      <c r="J127" s="339"/>
      <c r="K127" s="339"/>
    </row>
    <row r="128" spans="1:11" s="455" customFormat="1" ht="15" customHeight="1">
      <c r="A128" s="450"/>
      <c r="B128" s="450" t="s">
        <v>1389</v>
      </c>
      <c r="C128" s="457" t="s">
        <v>1390</v>
      </c>
      <c r="D128" s="452">
        <v>4</v>
      </c>
      <c r="E128" s="453" t="s">
        <v>149</v>
      </c>
      <c r="F128" s="359"/>
      <c r="G128" s="359"/>
      <c r="H128" s="454"/>
      <c r="I128" s="339"/>
      <c r="J128" s="339">
        <f>PRODUCT(D128*G128)</f>
        <v>0</v>
      </c>
      <c r="K128" s="339"/>
    </row>
    <row r="129" spans="1:11" s="442" customFormat="1" ht="15" customHeight="1">
      <c r="A129" s="458"/>
      <c r="B129" s="458"/>
      <c r="C129" s="459" t="s">
        <v>1396</v>
      </c>
      <c r="D129" s="460"/>
      <c r="E129" s="461"/>
      <c r="F129" s="361"/>
      <c r="G129" s="361"/>
      <c r="H129" s="462">
        <f>SUM(F127:G128)</f>
        <v>0</v>
      </c>
      <c r="I129" s="340"/>
      <c r="J129" s="340"/>
      <c r="K129" s="340">
        <f>SUM(I127:J128)</f>
        <v>0</v>
      </c>
    </row>
    <row r="130" spans="1:11" s="455" customFormat="1" ht="15" customHeight="1">
      <c r="A130" s="450"/>
      <c r="B130" s="450"/>
      <c r="C130" s="463"/>
      <c r="D130" s="452"/>
      <c r="E130" s="453"/>
      <c r="F130" s="360"/>
      <c r="G130" s="360"/>
      <c r="H130" s="464"/>
      <c r="I130" s="339"/>
      <c r="J130" s="339"/>
      <c r="K130" s="339"/>
    </row>
    <row r="131" spans="1:11" s="455" customFormat="1" ht="15" customHeight="1">
      <c r="A131" s="450"/>
      <c r="B131" s="450"/>
      <c r="C131" s="463"/>
      <c r="D131" s="452"/>
      <c r="E131" s="453"/>
      <c r="F131" s="360"/>
      <c r="G131" s="360"/>
      <c r="H131" s="464"/>
      <c r="I131" s="339"/>
      <c r="J131" s="339"/>
      <c r="K131" s="339"/>
    </row>
    <row r="132" spans="1:11" s="455" customFormat="1" ht="15" customHeight="1">
      <c r="A132" s="450" t="s">
        <v>1446</v>
      </c>
      <c r="B132" s="450"/>
      <c r="C132" s="457" t="s">
        <v>1447</v>
      </c>
      <c r="D132" s="452">
        <v>2</v>
      </c>
      <c r="E132" s="453" t="s">
        <v>149</v>
      </c>
      <c r="F132" s="359"/>
      <c r="G132" s="359"/>
      <c r="H132" s="454"/>
      <c r="I132" s="339">
        <f>PRODUCT(D132*F132)</f>
        <v>0</v>
      </c>
      <c r="J132" s="339"/>
      <c r="K132" s="339"/>
    </row>
    <row r="133" spans="1:11" s="455" customFormat="1" ht="15" customHeight="1">
      <c r="A133" s="450" t="s">
        <v>1448</v>
      </c>
      <c r="B133" s="450"/>
      <c r="C133" s="457" t="s">
        <v>1449</v>
      </c>
      <c r="D133" s="452">
        <v>3</v>
      </c>
      <c r="E133" s="453" t="s">
        <v>149</v>
      </c>
      <c r="F133" s="359"/>
      <c r="G133" s="359"/>
      <c r="H133" s="454"/>
      <c r="I133" s="339">
        <f>PRODUCT(D133*F133)</f>
        <v>0</v>
      </c>
      <c r="J133" s="339"/>
      <c r="K133" s="339"/>
    </row>
    <row r="134" spans="1:11" s="455" customFormat="1" ht="15" customHeight="1">
      <c r="A134" s="450"/>
      <c r="B134" s="450" t="s">
        <v>1394</v>
      </c>
      <c r="C134" s="457" t="s">
        <v>1450</v>
      </c>
      <c r="D134" s="452">
        <f>SUM(D132:D133)</f>
        <v>5</v>
      </c>
      <c r="E134" s="453" t="s">
        <v>149</v>
      </c>
      <c r="F134" s="359"/>
      <c r="G134" s="359"/>
      <c r="H134" s="454"/>
      <c r="I134" s="339"/>
      <c r="J134" s="339">
        <f>PRODUCT(D134*G134)</f>
        <v>0</v>
      </c>
      <c r="K134" s="339"/>
    </row>
    <row r="135" spans="1:11" s="442" customFormat="1" ht="15" customHeight="1">
      <c r="A135" s="458"/>
      <c r="B135" s="458"/>
      <c r="C135" s="459" t="s">
        <v>1396</v>
      </c>
      <c r="D135" s="460"/>
      <c r="E135" s="461"/>
      <c r="F135" s="361"/>
      <c r="G135" s="361"/>
      <c r="H135" s="462">
        <f>SUM(F132:G134)</f>
        <v>0</v>
      </c>
      <c r="I135" s="340"/>
      <c r="J135" s="340"/>
      <c r="K135" s="340">
        <f>SUM(I132:J134)</f>
        <v>0</v>
      </c>
    </row>
    <row r="136" spans="1:11" s="455" customFormat="1" ht="15" customHeight="1">
      <c r="A136" s="450"/>
      <c r="B136" s="450"/>
      <c r="C136" s="457"/>
      <c r="D136" s="452"/>
      <c r="E136" s="453"/>
      <c r="F136" s="360"/>
      <c r="G136" s="360"/>
      <c r="H136" s="454"/>
      <c r="I136" s="339"/>
      <c r="J136" s="339"/>
      <c r="K136" s="339"/>
    </row>
    <row r="137" spans="1:11" s="455" customFormat="1" ht="15" customHeight="1">
      <c r="A137" s="450" t="s">
        <v>1451</v>
      </c>
      <c r="B137" s="450"/>
      <c r="C137" s="457" t="s">
        <v>1452</v>
      </c>
      <c r="D137" s="452">
        <v>2</v>
      </c>
      <c r="E137" s="453" t="s">
        <v>149</v>
      </c>
      <c r="F137" s="359"/>
      <c r="G137" s="359"/>
      <c r="H137" s="454"/>
      <c r="I137" s="339">
        <f>PRODUCT(D137*F137)</f>
        <v>0</v>
      </c>
      <c r="J137" s="339"/>
      <c r="K137" s="339"/>
    </row>
    <row r="138" spans="1:11" s="455" customFormat="1" ht="15" customHeight="1">
      <c r="A138" s="450"/>
      <c r="B138" s="450" t="s">
        <v>1394</v>
      </c>
      <c r="C138" s="457" t="s">
        <v>1453</v>
      </c>
      <c r="D138" s="452">
        <v>2</v>
      </c>
      <c r="E138" s="453" t="s">
        <v>149</v>
      </c>
      <c r="F138" s="359"/>
      <c r="G138" s="359"/>
      <c r="H138" s="454"/>
      <c r="I138" s="339"/>
      <c r="J138" s="339">
        <f>PRODUCT(D138*G138)</f>
        <v>0</v>
      </c>
      <c r="K138" s="339"/>
    </row>
    <row r="139" spans="1:11" s="442" customFormat="1" ht="15" customHeight="1">
      <c r="A139" s="458"/>
      <c r="B139" s="458"/>
      <c r="C139" s="459" t="s">
        <v>1454</v>
      </c>
      <c r="D139" s="460"/>
      <c r="E139" s="461"/>
      <c r="F139" s="361"/>
      <c r="G139" s="361"/>
      <c r="H139" s="462">
        <f>SUM(F137:G138)</f>
        <v>0</v>
      </c>
      <c r="I139" s="340"/>
      <c r="J139" s="340"/>
      <c r="K139" s="340">
        <f>SUM(I137:J138)</f>
        <v>0</v>
      </c>
    </row>
    <row r="140" spans="1:11" s="455" customFormat="1" ht="15" customHeight="1">
      <c r="A140" s="450"/>
      <c r="B140" s="450"/>
      <c r="C140" s="463"/>
      <c r="D140" s="452"/>
      <c r="E140" s="453"/>
      <c r="F140" s="360"/>
      <c r="G140" s="360"/>
      <c r="H140" s="464"/>
      <c r="I140" s="339"/>
      <c r="J140" s="339"/>
      <c r="K140" s="339"/>
    </row>
    <row r="141" spans="1:11" s="455" customFormat="1" ht="15" customHeight="1">
      <c r="A141" s="471"/>
      <c r="B141" s="450"/>
      <c r="C141" s="472" t="s">
        <v>1455</v>
      </c>
      <c r="D141" s="452">
        <v>5</v>
      </c>
      <c r="E141" s="465" t="s">
        <v>70</v>
      </c>
      <c r="F141" s="359"/>
      <c r="G141" s="359"/>
      <c r="H141" s="464"/>
      <c r="I141" s="339">
        <f>PRODUCT(D141*F141)</f>
        <v>0</v>
      </c>
      <c r="J141" s="339"/>
      <c r="K141" s="339"/>
    </row>
    <row r="142" spans="1:11" s="455" customFormat="1" ht="15" customHeight="1">
      <c r="A142" s="471"/>
      <c r="B142" s="450"/>
      <c r="C142" s="472" t="s">
        <v>1456</v>
      </c>
      <c r="D142" s="452">
        <v>10</v>
      </c>
      <c r="E142" s="465" t="s">
        <v>70</v>
      </c>
      <c r="F142" s="359"/>
      <c r="G142" s="359"/>
      <c r="H142" s="464"/>
      <c r="I142" s="339">
        <f>PRODUCT(D142*F142)</f>
        <v>0</v>
      </c>
      <c r="J142" s="339"/>
      <c r="K142" s="339"/>
    </row>
    <row r="143" spans="1:11" s="455" customFormat="1" ht="15" customHeight="1">
      <c r="A143" s="471"/>
      <c r="B143" s="450"/>
      <c r="C143" s="472" t="s">
        <v>1457</v>
      </c>
      <c r="D143" s="452">
        <v>1</v>
      </c>
      <c r="E143" s="465" t="s">
        <v>70</v>
      </c>
      <c r="F143" s="359"/>
      <c r="G143" s="359"/>
      <c r="H143" s="464"/>
      <c r="I143" s="339">
        <f>PRODUCT(D143*F143)</f>
        <v>0</v>
      </c>
      <c r="J143" s="339"/>
      <c r="K143" s="339"/>
    </row>
    <row r="144" spans="1:11" s="455" customFormat="1" ht="15" customHeight="1">
      <c r="A144" s="450"/>
      <c r="B144" s="473" t="s">
        <v>1413</v>
      </c>
      <c r="C144" s="472" t="s">
        <v>1414</v>
      </c>
      <c r="D144" s="452">
        <f>SUM(D141:D143)</f>
        <v>16</v>
      </c>
      <c r="E144" s="465" t="s">
        <v>70</v>
      </c>
      <c r="F144" s="359"/>
      <c r="G144" s="359"/>
      <c r="H144" s="464"/>
      <c r="I144" s="339"/>
      <c r="J144" s="339">
        <f>PRODUCT(D144*G144)</f>
        <v>0</v>
      </c>
      <c r="K144" s="339"/>
    </row>
    <row r="145" spans="1:11" s="442" customFormat="1" ht="15" customHeight="1">
      <c r="A145" s="458"/>
      <c r="B145" s="458"/>
      <c r="C145" s="459" t="s">
        <v>1415</v>
      </c>
      <c r="D145" s="460"/>
      <c r="E145" s="461"/>
      <c r="F145" s="361"/>
      <c r="G145" s="361"/>
      <c r="H145" s="462">
        <f>SUM(F141:G144)</f>
        <v>0</v>
      </c>
      <c r="I145" s="340"/>
      <c r="J145" s="340"/>
      <c r="K145" s="340">
        <f>SUM(I141:J144)</f>
        <v>0</v>
      </c>
    </row>
    <row r="146" spans="1:11" s="455" customFormat="1" ht="15" customHeight="1">
      <c r="A146" s="450"/>
      <c r="B146" s="450"/>
      <c r="C146" s="463"/>
      <c r="D146" s="452"/>
      <c r="E146" s="453"/>
      <c r="F146" s="360"/>
      <c r="G146" s="360"/>
      <c r="H146" s="464"/>
      <c r="I146" s="339"/>
      <c r="J146" s="339"/>
      <c r="K146" s="339"/>
    </row>
    <row r="147" spans="1:11" s="442" customFormat="1" ht="15" customHeight="1">
      <c r="A147" s="474"/>
      <c r="B147" s="475"/>
      <c r="C147" s="476" t="s">
        <v>1458</v>
      </c>
      <c r="D147" s="477">
        <v>10</v>
      </c>
      <c r="E147" s="473" t="s">
        <v>1425</v>
      </c>
      <c r="F147" s="363"/>
      <c r="G147" s="364"/>
      <c r="H147" s="478"/>
      <c r="I147" s="342">
        <f>D147*F147</f>
        <v>0</v>
      </c>
      <c r="J147" s="343"/>
      <c r="K147" s="344"/>
    </row>
    <row r="148" spans="1:11" s="442" customFormat="1" ht="15" customHeight="1">
      <c r="A148" s="479"/>
      <c r="B148" s="475"/>
      <c r="C148" s="480" t="s">
        <v>1426</v>
      </c>
      <c r="D148" s="477">
        <v>10</v>
      </c>
      <c r="E148" s="473" t="s">
        <v>1425</v>
      </c>
      <c r="F148" s="363"/>
      <c r="G148" s="365"/>
      <c r="H148" s="481"/>
      <c r="I148" s="342"/>
      <c r="J148" s="342">
        <f>D148*G148</f>
        <v>0</v>
      </c>
      <c r="K148" s="342"/>
    </row>
    <row r="149" spans="1:11" s="442" customFormat="1" ht="15" customHeight="1">
      <c r="A149" s="458"/>
      <c r="B149" s="458"/>
      <c r="C149" s="459" t="s">
        <v>1459</v>
      </c>
      <c r="D149" s="460"/>
      <c r="E149" s="461"/>
      <c r="F149" s="361"/>
      <c r="G149" s="361"/>
      <c r="H149" s="462">
        <f>SUM(F147:G148)</f>
        <v>0</v>
      </c>
      <c r="I149" s="340"/>
      <c r="J149" s="340"/>
      <c r="K149" s="340">
        <f>SUM(I147:J148)</f>
        <v>0</v>
      </c>
    </row>
    <row r="150" spans="1:11" s="455" customFormat="1" ht="15" customHeight="1">
      <c r="A150" s="450"/>
      <c r="B150" s="450"/>
      <c r="C150" s="463"/>
      <c r="D150" s="452"/>
      <c r="E150" s="453"/>
      <c r="F150" s="360"/>
      <c r="G150" s="360"/>
      <c r="H150" s="464"/>
      <c r="I150" s="339"/>
      <c r="J150" s="339"/>
      <c r="K150" s="339"/>
    </row>
    <row r="151" spans="1:11" s="442" customFormat="1" ht="15" customHeight="1">
      <c r="A151" s="447" t="s">
        <v>1460</v>
      </c>
      <c r="B151" s="448"/>
      <c r="C151" s="449"/>
      <c r="D151" s="448"/>
      <c r="E151" s="448"/>
      <c r="F151" s="358"/>
      <c r="G151" s="358"/>
      <c r="H151" s="448"/>
      <c r="I151" s="337"/>
      <c r="J151" s="337"/>
      <c r="K151" s="338"/>
    </row>
    <row r="152" spans="1:11" s="455" customFormat="1" ht="15" customHeight="1">
      <c r="A152" s="450" t="s">
        <v>1461</v>
      </c>
      <c r="B152" s="450"/>
      <c r="C152" s="451" t="s">
        <v>1345</v>
      </c>
      <c r="D152" s="452">
        <v>1</v>
      </c>
      <c r="E152" s="453" t="s">
        <v>149</v>
      </c>
      <c r="F152" s="368" t="s">
        <v>1462</v>
      </c>
      <c r="G152" s="368"/>
      <c r="H152" s="486"/>
      <c r="I152" s="486"/>
      <c r="J152" s="486"/>
      <c r="K152" s="339"/>
    </row>
    <row r="153" spans="1:11" s="455" customFormat="1" ht="15" customHeight="1">
      <c r="A153" s="450"/>
      <c r="B153" s="450"/>
      <c r="C153" s="451" t="s">
        <v>1346</v>
      </c>
      <c r="D153" s="452"/>
      <c r="E153" s="453"/>
      <c r="F153" s="360"/>
      <c r="G153" s="360"/>
      <c r="H153" s="454"/>
      <c r="I153" s="339"/>
      <c r="J153" s="339"/>
      <c r="K153" s="339"/>
    </row>
    <row r="154" spans="1:11" s="455" customFormat="1" ht="15" customHeight="1">
      <c r="A154" s="450"/>
      <c r="B154" s="450"/>
      <c r="C154" s="451" t="s">
        <v>1347</v>
      </c>
      <c r="D154" s="452"/>
      <c r="E154" s="453"/>
      <c r="F154" s="360"/>
      <c r="G154" s="360"/>
      <c r="H154" s="454"/>
      <c r="I154" s="339"/>
      <c r="J154" s="339"/>
      <c r="K154" s="339"/>
    </row>
    <row r="155" spans="1:11" s="455" customFormat="1" ht="15" customHeight="1">
      <c r="A155" s="450"/>
      <c r="B155" s="450"/>
      <c r="C155" s="456" t="s">
        <v>1348</v>
      </c>
      <c r="D155" s="452"/>
      <c r="E155" s="453"/>
      <c r="F155" s="360"/>
      <c r="G155" s="360"/>
      <c r="H155" s="454"/>
      <c r="I155" s="339"/>
      <c r="J155" s="339"/>
      <c r="K155" s="339"/>
    </row>
    <row r="156" spans="1:11" s="455" customFormat="1" ht="15" customHeight="1">
      <c r="A156" s="450"/>
      <c r="B156" s="450"/>
      <c r="C156" s="456" t="s">
        <v>1349</v>
      </c>
      <c r="D156" s="452"/>
      <c r="E156" s="453"/>
      <c r="F156" s="360"/>
      <c r="G156" s="360"/>
      <c r="H156" s="454"/>
      <c r="I156" s="339"/>
      <c r="J156" s="339"/>
      <c r="K156" s="339"/>
    </row>
    <row r="157" spans="1:11" s="455" customFormat="1" ht="15" customHeight="1">
      <c r="A157" s="450"/>
      <c r="B157" s="450"/>
      <c r="C157" s="456" t="s">
        <v>1350</v>
      </c>
      <c r="D157" s="452"/>
      <c r="E157" s="453"/>
      <c r="F157" s="360"/>
      <c r="G157" s="360"/>
      <c r="H157" s="454"/>
      <c r="I157" s="339"/>
      <c r="J157" s="339"/>
      <c r="K157" s="339"/>
    </row>
    <row r="158" spans="1:11" s="455" customFormat="1" ht="15" customHeight="1">
      <c r="A158" s="450"/>
      <c r="B158" s="450"/>
      <c r="C158" s="457" t="s">
        <v>1351</v>
      </c>
      <c r="D158" s="452"/>
      <c r="E158" s="453"/>
      <c r="F158" s="360"/>
      <c r="G158" s="360"/>
      <c r="H158" s="454"/>
      <c r="I158" s="339"/>
      <c r="J158" s="339"/>
      <c r="K158" s="339"/>
    </row>
    <row r="159" spans="1:11" s="455" customFormat="1" ht="15" customHeight="1">
      <c r="A159" s="450"/>
      <c r="B159" s="450"/>
      <c r="C159" s="457" t="s">
        <v>1352</v>
      </c>
      <c r="D159" s="452"/>
      <c r="E159" s="453"/>
      <c r="F159" s="360"/>
      <c r="G159" s="360"/>
      <c r="H159" s="454"/>
      <c r="I159" s="339"/>
      <c r="J159" s="339"/>
      <c r="K159" s="339"/>
    </row>
    <row r="160" spans="1:11" s="455" customFormat="1" ht="15" customHeight="1">
      <c r="A160" s="450"/>
      <c r="B160" s="450"/>
      <c r="C160" s="457" t="s">
        <v>1353</v>
      </c>
      <c r="D160" s="452"/>
      <c r="E160" s="453"/>
      <c r="F160" s="360"/>
      <c r="G160" s="360"/>
      <c r="H160" s="454"/>
      <c r="I160" s="339"/>
      <c r="J160" s="339"/>
      <c r="K160" s="339"/>
    </row>
    <row r="161" spans="1:11" s="455" customFormat="1" ht="15" customHeight="1">
      <c r="A161" s="450"/>
      <c r="B161" s="450"/>
      <c r="C161" s="457" t="s">
        <v>1354</v>
      </c>
      <c r="D161" s="452"/>
      <c r="E161" s="453"/>
      <c r="F161" s="360"/>
      <c r="G161" s="360"/>
      <c r="H161" s="454"/>
      <c r="I161" s="339"/>
      <c r="J161" s="339"/>
      <c r="K161" s="339"/>
    </row>
    <row r="162" spans="1:11" s="455" customFormat="1" ht="15" customHeight="1">
      <c r="A162" s="450"/>
      <c r="B162" s="450"/>
      <c r="C162" s="457" t="s">
        <v>1355</v>
      </c>
      <c r="D162" s="452"/>
      <c r="E162" s="453"/>
      <c r="F162" s="360"/>
      <c r="G162" s="360"/>
      <c r="H162" s="454"/>
      <c r="I162" s="339"/>
      <c r="J162" s="339"/>
      <c r="K162" s="339"/>
    </row>
    <row r="163" spans="1:11" s="455" customFormat="1" ht="15" customHeight="1">
      <c r="A163" s="450"/>
      <c r="B163" s="450"/>
      <c r="C163" s="456" t="s">
        <v>1356</v>
      </c>
      <c r="D163" s="452"/>
      <c r="E163" s="453"/>
      <c r="F163" s="360"/>
      <c r="G163" s="360"/>
      <c r="H163" s="454"/>
      <c r="I163" s="339"/>
      <c r="J163" s="339"/>
      <c r="K163" s="339"/>
    </row>
    <row r="164" spans="1:11" s="455" customFormat="1" ht="15" customHeight="1">
      <c r="A164" s="450"/>
      <c r="B164" s="450"/>
      <c r="C164" s="457" t="s">
        <v>1357</v>
      </c>
      <c r="D164" s="452"/>
      <c r="E164" s="453"/>
      <c r="F164" s="360"/>
      <c r="G164" s="360"/>
      <c r="H164" s="454"/>
      <c r="I164" s="339"/>
      <c r="J164" s="339"/>
      <c r="K164" s="339"/>
    </row>
    <row r="165" spans="1:11" s="455" customFormat="1" ht="15" customHeight="1">
      <c r="A165" s="450"/>
      <c r="B165" s="450"/>
      <c r="C165" s="457" t="s">
        <v>1358</v>
      </c>
      <c r="D165" s="452"/>
      <c r="E165" s="453"/>
      <c r="F165" s="360"/>
      <c r="G165" s="360"/>
      <c r="H165" s="454"/>
      <c r="I165" s="339"/>
      <c r="J165" s="339"/>
      <c r="K165" s="339"/>
    </row>
    <row r="166" spans="1:11" s="455" customFormat="1" ht="15" customHeight="1">
      <c r="A166" s="450"/>
      <c r="B166" s="450"/>
      <c r="C166" s="457" t="s">
        <v>1359</v>
      </c>
      <c r="D166" s="452"/>
      <c r="E166" s="453"/>
      <c r="F166" s="360"/>
      <c r="G166" s="360"/>
      <c r="H166" s="454"/>
      <c r="I166" s="339"/>
      <c r="J166" s="339"/>
      <c r="K166" s="339"/>
    </row>
    <row r="167" spans="1:11" s="455" customFormat="1" ht="15" customHeight="1">
      <c r="A167" s="450"/>
      <c r="B167" s="450"/>
      <c r="C167" s="457" t="s">
        <v>1360</v>
      </c>
      <c r="D167" s="452">
        <v>1</v>
      </c>
      <c r="E167" s="453" t="s">
        <v>149</v>
      </c>
      <c r="F167" s="368" t="s">
        <v>1462</v>
      </c>
      <c r="G167" s="368"/>
      <c r="H167" s="486"/>
      <c r="I167" s="486"/>
      <c r="J167" s="486"/>
      <c r="K167" s="339"/>
    </row>
    <row r="168" spans="1:11" s="455" customFormat="1" ht="15" customHeight="1">
      <c r="A168" s="450"/>
      <c r="B168" s="450" t="s">
        <v>1361</v>
      </c>
      <c r="C168" s="457" t="s">
        <v>1362</v>
      </c>
      <c r="D168" s="452">
        <v>1</v>
      </c>
      <c r="E168" s="453" t="s">
        <v>149</v>
      </c>
      <c r="F168" s="368" t="s">
        <v>1462</v>
      </c>
      <c r="G168" s="368"/>
      <c r="H168" s="486"/>
      <c r="I168" s="486"/>
      <c r="J168" s="486"/>
      <c r="K168" s="339"/>
    </row>
    <row r="169" spans="1:11" s="442" customFormat="1" ht="15" customHeight="1">
      <c r="A169" s="458"/>
      <c r="B169" s="458"/>
      <c r="C169" s="459" t="s">
        <v>1363</v>
      </c>
      <c r="D169" s="460"/>
      <c r="E169" s="461"/>
      <c r="F169" s="361"/>
      <c r="G169" s="361"/>
      <c r="H169" s="462"/>
      <c r="I169" s="340"/>
      <c r="J169" s="340"/>
      <c r="K169" s="340"/>
    </row>
    <row r="170" spans="1:11" s="455" customFormat="1" ht="15" customHeight="1">
      <c r="A170" s="450"/>
      <c r="B170" s="450"/>
      <c r="C170" s="463"/>
      <c r="D170" s="452"/>
      <c r="E170" s="453"/>
      <c r="F170" s="360"/>
      <c r="G170" s="360"/>
      <c r="H170" s="464"/>
      <c r="I170" s="339"/>
      <c r="J170" s="339"/>
      <c r="K170" s="339"/>
    </row>
    <row r="171" spans="1:11" s="455" customFormat="1" ht="15" customHeight="1">
      <c r="A171" s="450" t="s">
        <v>1463</v>
      </c>
      <c r="B171" s="450"/>
      <c r="C171" s="457" t="s">
        <v>1365</v>
      </c>
      <c r="D171" s="452">
        <v>1</v>
      </c>
      <c r="E171" s="453" t="s">
        <v>149</v>
      </c>
      <c r="F171" s="368" t="s">
        <v>1462</v>
      </c>
      <c r="G171" s="368"/>
      <c r="H171" s="486"/>
      <c r="I171" s="486"/>
      <c r="J171" s="486"/>
      <c r="K171" s="339"/>
    </row>
    <row r="172" spans="1:11" s="455" customFormat="1" ht="15" customHeight="1">
      <c r="A172" s="450"/>
      <c r="B172" s="450"/>
      <c r="C172" s="456" t="s">
        <v>1366</v>
      </c>
      <c r="D172" s="452"/>
      <c r="E172" s="453"/>
      <c r="F172" s="360"/>
      <c r="G172" s="360"/>
      <c r="H172" s="454"/>
      <c r="I172" s="339"/>
      <c r="J172" s="339"/>
      <c r="K172" s="339"/>
    </row>
    <row r="173" spans="1:11" s="455" customFormat="1" ht="15" customHeight="1">
      <c r="A173" s="450"/>
      <c r="B173" s="450"/>
      <c r="C173" s="456" t="s">
        <v>1367</v>
      </c>
      <c r="D173" s="452"/>
      <c r="E173" s="453"/>
      <c r="F173" s="360"/>
      <c r="G173" s="360"/>
      <c r="H173" s="454"/>
      <c r="I173" s="339"/>
      <c r="J173" s="339"/>
      <c r="K173" s="339"/>
    </row>
    <row r="174" spans="1:11" s="455" customFormat="1" ht="15" customHeight="1">
      <c r="A174" s="450"/>
      <c r="B174" s="450"/>
      <c r="C174" s="457" t="s">
        <v>1368</v>
      </c>
      <c r="D174" s="452">
        <v>1</v>
      </c>
      <c r="E174" s="453" t="s">
        <v>149</v>
      </c>
      <c r="F174" s="368" t="s">
        <v>1462</v>
      </c>
      <c r="G174" s="368"/>
      <c r="H174" s="486"/>
      <c r="I174" s="486"/>
      <c r="J174" s="486"/>
      <c r="K174" s="339"/>
    </row>
    <row r="175" spans="1:11" s="442" customFormat="1" ht="15" customHeight="1">
      <c r="A175" s="458"/>
      <c r="B175" s="458"/>
      <c r="C175" s="459" t="s">
        <v>1369</v>
      </c>
      <c r="D175" s="460"/>
      <c r="E175" s="461"/>
      <c r="F175" s="361"/>
      <c r="G175" s="361"/>
      <c r="H175" s="462"/>
      <c r="I175" s="340"/>
      <c r="J175" s="340"/>
      <c r="K175" s="340"/>
    </row>
    <row r="176" spans="1:11" s="455" customFormat="1" ht="15" customHeight="1">
      <c r="A176" s="450"/>
      <c r="B176" s="450"/>
      <c r="C176" s="463"/>
      <c r="D176" s="452"/>
      <c r="E176" s="453"/>
      <c r="F176" s="360"/>
      <c r="G176" s="360"/>
      <c r="H176" s="464"/>
      <c r="I176" s="339"/>
      <c r="J176" s="339"/>
      <c r="K176" s="339"/>
    </row>
    <row r="177" spans="1:11" s="455" customFormat="1" ht="15" customHeight="1">
      <c r="A177" s="450" t="s">
        <v>1464</v>
      </c>
      <c r="B177" s="450"/>
      <c r="C177" s="457" t="s">
        <v>1377</v>
      </c>
      <c r="D177" s="452">
        <v>1</v>
      </c>
      <c r="E177" s="453" t="s">
        <v>149</v>
      </c>
      <c r="F177" s="368" t="s">
        <v>1462</v>
      </c>
      <c r="G177" s="368"/>
      <c r="H177" s="486"/>
      <c r="I177" s="486"/>
      <c r="J177" s="486"/>
      <c r="K177" s="339"/>
    </row>
    <row r="178" spans="1:11" s="455" customFormat="1" ht="15" customHeight="1">
      <c r="A178" s="450"/>
      <c r="B178" s="450"/>
      <c r="C178" s="457" t="s">
        <v>1378</v>
      </c>
      <c r="D178" s="452">
        <v>1</v>
      </c>
      <c r="E178" s="453" t="s">
        <v>149</v>
      </c>
      <c r="F178" s="368" t="s">
        <v>1462</v>
      </c>
      <c r="G178" s="368"/>
      <c r="H178" s="486"/>
      <c r="I178" s="486"/>
      <c r="J178" s="486"/>
      <c r="K178" s="339"/>
    </row>
    <row r="179" spans="1:11" s="442" customFormat="1" ht="15" customHeight="1">
      <c r="A179" s="458"/>
      <c r="B179" s="458"/>
      <c r="C179" s="459" t="s">
        <v>1379</v>
      </c>
      <c r="D179" s="460"/>
      <c r="E179" s="461"/>
      <c r="F179" s="361"/>
      <c r="G179" s="361"/>
      <c r="H179" s="462"/>
      <c r="I179" s="340"/>
      <c r="J179" s="340"/>
      <c r="K179" s="340"/>
    </row>
    <row r="180" spans="1:11" s="455" customFormat="1" ht="15" customHeight="1">
      <c r="A180" s="450"/>
      <c r="B180" s="450"/>
      <c r="C180" s="463"/>
      <c r="D180" s="452"/>
      <c r="E180" s="453"/>
      <c r="F180" s="360"/>
      <c r="G180" s="360"/>
      <c r="H180" s="464"/>
      <c r="I180" s="339"/>
      <c r="J180" s="339"/>
      <c r="K180" s="339"/>
    </row>
    <row r="181" spans="1:11" s="455" customFormat="1" ht="15" customHeight="1">
      <c r="A181" s="450"/>
      <c r="B181" s="450"/>
      <c r="C181" s="463"/>
      <c r="D181" s="452"/>
      <c r="E181" s="453"/>
      <c r="F181" s="360"/>
      <c r="G181" s="360"/>
      <c r="H181" s="464"/>
      <c r="I181" s="339"/>
      <c r="J181" s="339"/>
      <c r="K181" s="339"/>
    </row>
    <row r="182" spans="1:11" s="455" customFormat="1" ht="15" customHeight="1">
      <c r="A182" s="450" t="s">
        <v>1465</v>
      </c>
      <c r="B182" s="450"/>
      <c r="C182" s="457" t="s">
        <v>1466</v>
      </c>
      <c r="D182" s="452">
        <v>2</v>
      </c>
      <c r="E182" s="453" t="s">
        <v>149</v>
      </c>
      <c r="F182" s="359"/>
      <c r="G182" s="359"/>
      <c r="H182" s="454"/>
      <c r="I182" s="339">
        <f>D182*F182</f>
        <v>0</v>
      </c>
      <c r="J182" s="339"/>
      <c r="K182" s="339"/>
    </row>
    <row r="183" spans="1:11" s="455" customFormat="1" ht="15" customHeight="1">
      <c r="A183" s="450"/>
      <c r="B183" s="465" t="s">
        <v>1384</v>
      </c>
      <c r="C183" s="457" t="s">
        <v>1442</v>
      </c>
      <c r="D183" s="452">
        <f>SUM(D182:D182)</f>
        <v>2</v>
      </c>
      <c r="E183" s="453" t="s">
        <v>149</v>
      </c>
      <c r="F183" s="359"/>
      <c r="G183" s="359"/>
      <c r="H183" s="454"/>
      <c r="I183" s="339"/>
      <c r="J183" s="339">
        <f>D183*G183</f>
        <v>0</v>
      </c>
      <c r="K183" s="339"/>
    </row>
    <row r="184" spans="1:11" s="455" customFormat="1" ht="15" customHeight="1">
      <c r="A184" s="466"/>
      <c r="B184" s="466"/>
      <c r="C184" s="459" t="s">
        <v>1443</v>
      </c>
      <c r="D184" s="468"/>
      <c r="E184" s="469"/>
      <c r="F184" s="362"/>
      <c r="G184" s="362"/>
      <c r="H184" s="470">
        <f>SUM(F182:G183)</f>
        <v>0</v>
      </c>
      <c r="I184" s="341"/>
      <c r="J184" s="341"/>
      <c r="K184" s="341">
        <f>SUM(I182:J183)</f>
        <v>0</v>
      </c>
    </row>
    <row r="185" spans="1:11" s="455" customFormat="1" ht="15" customHeight="1">
      <c r="A185" s="450"/>
      <c r="B185" s="450"/>
      <c r="C185" s="463"/>
      <c r="D185" s="452"/>
      <c r="E185" s="453"/>
      <c r="F185" s="360"/>
      <c r="G185" s="360"/>
      <c r="H185" s="464"/>
      <c r="I185" s="339"/>
      <c r="J185" s="339"/>
      <c r="K185" s="339"/>
    </row>
    <row r="186" spans="1:11" s="455" customFormat="1" ht="15" customHeight="1">
      <c r="A186" s="450" t="s">
        <v>1467</v>
      </c>
      <c r="B186" s="450"/>
      <c r="C186" s="457" t="s">
        <v>1468</v>
      </c>
      <c r="D186" s="452">
        <v>4</v>
      </c>
      <c r="E186" s="453" t="s">
        <v>149</v>
      </c>
      <c r="F186" s="368" t="s">
        <v>1462</v>
      </c>
      <c r="G186" s="368"/>
      <c r="H186" s="486"/>
      <c r="I186" s="486"/>
      <c r="J186" s="486"/>
      <c r="K186" s="339"/>
    </row>
    <row r="187" spans="1:11" s="455" customFormat="1" ht="15" customHeight="1">
      <c r="A187" s="450"/>
      <c r="B187" s="450" t="s">
        <v>1389</v>
      </c>
      <c r="C187" s="457" t="s">
        <v>1390</v>
      </c>
      <c r="D187" s="452">
        <v>4</v>
      </c>
      <c r="E187" s="453" t="s">
        <v>149</v>
      </c>
      <c r="F187" s="368" t="s">
        <v>1462</v>
      </c>
      <c r="G187" s="368"/>
      <c r="H187" s="486"/>
      <c r="I187" s="486"/>
      <c r="J187" s="486"/>
      <c r="K187" s="339"/>
    </row>
    <row r="188" spans="1:11" s="442" customFormat="1" ht="15" customHeight="1">
      <c r="A188" s="458"/>
      <c r="B188" s="458"/>
      <c r="C188" s="459" t="s">
        <v>1469</v>
      </c>
      <c r="D188" s="460"/>
      <c r="E188" s="461"/>
      <c r="F188" s="361"/>
      <c r="G188" s="361"/>
      <c r="H188" s="462"/>
      <c r="I188" s="340"/>
      <c r="J188" s="340"/>
      <c r="K188" s="340"/>
    </row>
    <row r="189" spans="1:11" s="455" customFormat="1" ht="15" customHeight="1">
      <c r="A189" s="450"/>
      <c r="B189" s="450"/>
      <c r="C189" s="463"/>
      <c r="D189" s="452"/>
      <c r="E189" s="453"/>
      <c r="F189" s="360"/>
      <c r="G189" s="360"/>
      <c r="H189" s="464"/>
      <c r="I189" s="339"/>
      <c r="J189" s="339"/>
      <c r="K189" s="339"/>
    </row>
    <row r="190" spans="1:11" s="455" customFormat="1" ht="15" customHeight="1">
      <c r="A190" s="450" t="s">
        <v>1470</v>
      </c>
      <c r="B190" s="450"/>
      <c r="C190" s="457" t="s">
        <v>1471</v>
      </c>
      <c r="D190" s="452">
        <v>2</v>
      </c>
      <c r="E190" s="453" t="s">
        <v>149</v>
      </c>
      <c r="F190" s="368" t="s">
        <v>1462</v>
      </c>
      <c r="G190" s="368"/>
      <c r="H190" s="486"/>
      <c r="I190" s="486"/>
      <c r="J190" s="486"/>
      <c r="K190" s="339"/>
    </row>
    <row r="191" spans="1:11" s="455" customFormat="1" ht="15" customHeight="1">
      <c r="A191" s="450"/>
      <c r="B191" s="450" t="s">
        <v>1394</v>
      </c>
      <c r="C191" s="457" t="s">
        <v>1401</v>
      </c>
      <c r="D191" s="452">
        <v>2</v>
      </c>
      <c r="E191" s="453" t="s">
        <v>149</v>
      </c>
      <c r="F191" s="368" t="s">
        <v>1462</v>
      </c>
      <c r="G191" s="368"/>
      <c r="H191" s="486"/>
      <c r="I191" s="486"/>
      <c r="J191" s="486"/>
      <c r="K191" s="339"/>
    </row>
    <row r="192" spans="1:11" s="442" customFormat="1" ht="15" customHeight="1">
      <c r="A192" s="458"/>
      <c r="B192" s="458"/>
      <c r="C192" s="459" t="s">
        <v>1472</v>
      </c>
      <c r="D192" s="460"/>
      <c r="E192" s="461"/>
      <c r="F192" s="361"/>
      <c r="G192" s="361"/>
      <c r="H192" s="462"/>
      <c r="I192" s="340"/>
      <c r="J192" s="340"/>
      <c r="K192" s="340"/>
    </row>
    <row r="193" spans="1:11" s="455" customFormat="1" ht="15" customHeight="1">
      <c r="A193" s="450"/>
      <c r="B193" s="450"/>
      <c r="C193" s="457"/>
      <c r="D193" s="452"/>
      <c r="E193" s="453"/>
      <c r="F193" s="360"/>
      <c r="G193" s="360"/>
      <c r="H193" s="454"/>
      <c r="I193" s="339"/>
      <c r="J193" s="339"/>
      <c r="K193" s="339"/>
    </row>
    <row r="194" spans="1:11" s="455" customFormat="1" ht="15" customHeight="1">
      <c r="A194" s="450" t="s">
        <v>1473</v>
      </c>
      <c r="B194" s="450"/>
      <c r="C194" s="457" t="s">
        <v>1474</v>
      </c>
      <c r="D194" s="452">
        <v>1</v>
      </c>
      <c r="E194" s="453" t="s">
        <v>149</v>
      </c>
      <c r="F194" s="368" t="s">
        <v>1462</v>
      </c>
      <c r="G194" s="368"/>
      <c r="H194" s="486"/>
      <c r="I194" s="486"/>
      <c r="J194" s="486"/>
      <c r="K194" s="339"/>
    </row>
    <row r="195" spans="1:11" s="455" customFormat="1" ht="15" customHeight="1">
      <c r="A195" s="450"/>
      <c r="B195" s="450" t="s">
        <v>1394</v>
      </c>
      <c r="C195" s="457" t="s">
        <v>1408</v>
      </c>
      <c r="D195" s="452">
        <v>1</v>
      </c>
      <c r="E195" s="453" t="s">
        <v>149</v>
      </c>
      <c r="F195" s="368" t="s">
        <v>1462</v>
      </c>
      <c r="G195" s="368"/>
      <c r="H195" s="486"/>
      <c r="I195" s="486"/>
      <c r="J195" s="486"/>
      <c r="K195" s="339"/>
    </row>
    <row r="196" spans="1:11" s="442" customFormat="1" ht="15" customHeight="1">
      <c r="A196" s="458"/>
      <c r="B196" s="458"/>
      <c r="C196" s="459" t="s">
        <v>1396</v>
      </c>
      <c r="D196" s="460"/>
      <c r="E196" s="461"/>
      <c r="F196" s="361"/>
      <c r="G196" s="361"/>
      <c r="H196" s="462"/>
      <c r="I196" s="340"/>
      <c r="J196" s="340"/>
      <c r="K196" s="340"/>
    </row>
    <row r="197" spans="1:11" s="455" customFormat="1" ht="15" customHeight="1">
      <c r="A197" s="450"/>
      <c r="B197" s="450"/>
      <c r="C197" s="463"/>
      <c r="D197" s="452"/>
      <c r="E197" s="453"/>
      <c r="F197" s="360"/>
      <c r="G197" s="360"/>
      <c r="H197" s="464"/>
      <c r="I197" s="339"/>
      <c r="J197" s="339"/>
      <c r="K197" s="339"/>
    </row>
    <row r="198" spans="1:11" s="442" customFormat="1" ht="15" customHeight="1">
      <c r="A198" s="479"/>
      <c r="B198" s="479"/>
      <c r="C198" s="476" t="s">
        <v>1475</v>
      </c>
      <c r="D198" s="477">
        <v>10</v>
      </c>
      <c r="E198" s="473" t="s">
        <v>70</v>
      </c>
      <c r="F198" s="368" t="s">
        <v>1462</v>
      </c>
      <c r="G198" s="368"/>
      <c r="H198" s="486"/>
      <c r="I198" s="486"/>
      <c r="J198" s="486"/>
      <c r="K198" s="342"/>
    </row>
    <row r="199" spans="1:11" s="442" customFormat="1" ht="39.95" customHeight="1">
      <c r="A199" s="487"/>
      <c r="B199" s="479"/>
      <c r="C199" s="488" t="s">
        <v>1476</v>
      </c>
      <c r="D199" s="477"/>
      <c r="E199" s="474"/>
      <c r="F199" s="369"/>
      <c r="G199" s="369"/>
      <c r="H199" s="489"/>
      <c r="I199" s="342"/>
      <c r="J199" s="342"/>
      <c r="K199" s="342"/>
    </row>
    <row r="200" spans="1:11" s="442" customFormat="1" ht="15" customHeight="1">
      <c r="A200" s="479"/>
      <c r="B200" s="473" t="s">
        <v>1477</v>
      </c>
      <c r="C200" s="476" t="s">
        <v>1478</v>
      </c>
      <c r="D200" s="477">
        <v>10</v>
      </c>
      <c r="E200" s="473" t="s">
        <v>70</v>
      </c>
      <c r="F200" s="368" t="s">
        <v>1462</v>
      </c>
      <c r="G200" s="368"/>
      <c r="H200" s="486"/>
      <c r="I200" s="486"/>
      <c r="J200" s="486"/>
      <c r="K200" s="342"/>
    </row>
    <row r="201" spans="1:11" s="442" customFormat="1" ht="15" customHeight="1">
      <c r="A201" s="458"/>
      <c r="B201" s="458"/>
      <c r="C201" s="459" t="s">
        <v>1479</v>
      </c>
      <c r="D201" s="460"/>
      <c r="E201" s="461"/>
      <c r="F201" s="361"/>
      <c r="G201" s="361"/>
      <c r="H201" s="462"/>
      <c r="I201" s="340"/>
      <c r="J201" s="340"/>
      <c r="K201" s="340"/>
    </row>
    <row r="202" spans="1:11" s="455" customFormat="1" ht="15" customHeight="1">
      <c r="A202" s="450"/>
      <c r="B202" s="450"/>
      <c r="C202" s="463"/>
      <c r="D202" s="452"/>
      <c r="E202" s="453"/>
      <c r="F202" s="360"/>
      <c r="G202" s="360"/>
      <c r="H202" s="464"/>
      <c r="I202" s="339"/>
      <c r="J202" s="339"/>
      <c r="K202" s="339"/>
    </row>
    <row r="203" spans="1:11" s="455" customFormat="1" ht="15" customHeight="1">
      <c r="A203" s="471"/>
      <c r="B203" s="450"/>
      <c r="C203" s="472" t="s">
        <v>1480</v>
      </c>
      <c r="D203" s="452">
        <v>5</v>
      </c>
      <c r="E203" s="465" t="s">
        <v>70</v>
      </c>
      <c r="F203" s="359"/>
      <c r="G203" s="359"/>
      <c r="H203" s="464"/>
      <c r="I203" s="339">
        <f>PRODUCT(D203*F203)</f>
        <v>0</v>
      </c>
      <c r="J203" s="339"/>
      <c r="K203" s="339"/>
    </row>
    <row r="204" spans="1:11" s="455" customFormat="1" ht="15" customHeight="1">
      <c r="A204" s="471"/>
      <c r="B204" s="450"/>
      <c r="C204" s="472" t="s">
        <v>1481</v>
      </c>
      <c r="D204" s="452">
        <v>20</v>
      </c>
      <c r="E204" s="465" t="s">
        <v>70</v>
      </c>
      <c r="F204" s="359"/>
      <c r="G204" s="359"/>
      <c r="H204" s="464"/>
      <c r="I204" s="339">
        <f>PRODUCT(D204*F204)</f>
        <v>0</v>
      </c>
      <c r="J204" s="339"/>
      <c r="K204" s="339"/>
    </row>
    <row r="205" spans="1:11" s="455" customFormat="1" ht="15" customHeight="1">
      <c r="A205" s="471"/>
      <c r="B205" s="450"/>
      <c r="C205" s="472" t="s">
        <v>1482</v>
      </c>
      <c r="D205" s="452">
        <v>2</v>
      </c>
      <c r="E205" s="465" t="s">
        <v>70</v>
      </c>
      <c r="F205" s="359"/>
      <c r="G205" s="359"/>
      <c r="H205" s="464"/>
      <c r="I205" s="339">
        <f>PRODUCT(D205*F205)</f>
        <v>0</v>
      </c>
      <c r="J205" s="339"/>
      <c r="K205" s="339"/>
    </row>
    <row r="206" spans="1:11" s="455" customFormat="1" ht="15" customHeight="1">
      <c r="A206" s="450"/>
      <c r="B206" s="473" t="s">
        <v>1413</v>
      </c>
      <c r="C206" s="472" t="s">
        <v>1414</v>
      </c>
      <c r="D206" s="452">
        <f>SUM(D203:D205)</f>
        <v>27</v>
      </c>
      <c r="E206" s="465" t="s">
        <v>70</v>
      </c>
      <c r="F206" s="359"/>
      <c r="G206" s="359"/>
      <c r="H206" s="464"/>
      <c r="I206" s="339"/>
      <c r="J206" s="339">
        <f>PRODUCT(D206*G206)</f>
        <v>0</v>
      </c>
      <c r="K206" s="339"/>
    </row>
    <row r="207" spans="1:11" s="442" customFormat="1" ht="15" customHeight="1">
      <c r="A207" s="458"/>
      <c r="B207" s="458"/>
      <c r="C207" s="459" t="s">
        <v>1415</v>
      </c>
      <c r="D207" s="460"/>
      <c r="E207" s="461"/>
      <c r="F207" s="361"/>
      <c r="G207" s="361"/>
      <c r="H207" s="462">
        <f>SUM(F203:G206)</f>
        <v>0</v>
      </c>
      <c r="I207" s="340"/>
      <c r="J207" s="340"/>
      <c r="K207" s="340">
        <f>SUM(I203:J206)</f>
        <v>0</v>
      </c>
    </row>
    <row r="208" spans="1:11" s="455" customFormat="1" ht="15" customHeight="1">
      <c r="A208" s="450"/>
      <c r="B208" s="450"/>
      <c r="C208" s="463"/>
      <c r="D208" s="452"/>
      <c r="E208" s="453"/>
      <c r="F208" s="360"/>
      <c r="G208" s="360"/>
      <c r="H208" s="464"/>
      <c r="I208" s="339"/>
      <c r="J208" s="339"/>
      <c r="K208" s="339"/>
    </row>
    <row r="209" spans="1:11" s="455" customFormat="1" ht="15" customHeight="1">
      <c r="A209" s="450"/>
      <c r="B209" s="450"/>
      <c r="C209" s="463"/>
      <c r="D209" s="452"/>
      <c r="E209" s="453"/>
      <c r="F209" s="360"/>
      <c r="G209" s="360"/>
      <c r="H209" s="464"/>
      <c r="I209" s="339"/>
      <c r="J209" s="339"/>
      <c r="K209" s="339"/>
    </row>
    <row r="210" spans="1:11" s="455" customFormat="1" ht="15" customHeight="1">
      <c r="A210" s="450"/>
      <c r="B210" s="450"/>
      <c r="C210" s="463"/>
      <c r="D210" s="452"/>
      <c r="E210" s="453"/>
      <c r="F210" s="360"/>
      <c r="G210" s="360"/>
      <c r="H210" s="464"/>
      <c r="I210" s="339"/>
      <c r="J210" s="339"/>
      <c r="K210" s="339"/>
    </row>
    <row r="211" spans="1:11" s="455" customFormat="1" ht="15" customHeight="1">
      <c r="A211" s="450"/>
      <c r="B211" s="450"/>
      <c r="C211" s="472" t="s">
        <v>1483</v>
      </c>
      <c r="D211" s="452">
        <v>1</v>
      </c>
      <c r="E211" s="465" t="s">
        <v>1417</v>
      </c>
      <c r="F211" s="359"/>
      <c r="G211" s="359"/>
      <c r="H211" s="464"/>
      <c r="I211" s="339">
        <f>PRODUCT(D211*F211)</f>
        <v>0</v>
      </c>
      <c r="J211" s="339"/>
      <c r="K211" s="339"/>
    </row>
    <row r="212" spans="1:11" s="455" customFormat="1" ht="15" customHeight="1">
      <c r="A212" s="450"/>
      <c r="B212" s="450" t="s">
        <v>1421</v>
      </c>
      <c r="C212" s="472" t="s">
        <v>1422</v>
      </c>
      <c r="D212" s="452">
        <f>SUM(D211:D211)</f>
        <v>1</v>
      </c>
      <c r="E212" s="465" t="s">
        <v>1417</v>
      </c>
      <c r="F212" s="359"/>
      <c r="G212" s="359"/>
      <c r="H212" s="464"/>
      <c r="I212" s="339"/>
      <c r="J212" s="339">
        <f>PRODUCT(D212*G212)</f>
        <v>0</v>
      </c>
      <c r="K212" s="339"/>
    </row>
    <row r="213" spans="1:11" s="442" customFormat="1" ht="15" customHeight="1">
      <c r="A213" s="458"/>
      <c r="B213" s="458"/>
      <c r="C213" s="459" t="s">
        <v>1423</v>
      </c>
      <c r="D213" s="460"/>
      <c r="E213" s="461"/>
      <c r="F213" s="361"/>
      <c r="G213" s="361"/>
      <c r="H213" s="462">
        <f>SUM(F211:G212)</f>
        <v>0</v>
      </c>
      <c r="I213" s="340"/>
      <c r="J213" s="340"/>
      <c r="K213" s="340">
        <f>SUM(I211:J212)</f>
        <v>0</v>
      </c>
    </row>
    <row r="214" spans="1:11" s="455" customFormat="1" ht="15" customHeight="1">
      <c r="A214" s="450"/>
      <c r="B214" s="450"/>
      <c r="C214" s="463"/>
      <c r="D214" s="452"/>
      <c r="E214" s="453"/>
      <c r="F214" s="360"/>
      <c r="G214" s="360"/>
      <c r="H214" s="464"/>
      <c r="I214" s="339"/>
      <c r="J214" s="339"/>
      <c r="K214" s="339"/>
    </row>
    <row r="215" spans="1:11" s="442" customFormat="1" ht="15" customHeight="1">
      <c r="A215" s="474"/>
      <c r="B215" s="475"/>
      <c r="C215" s="476" t="s">
        <v>1458</v>
      </c>
      <c r="D215" s="477">
        <v>10</v>
      </c>
      <c r="E215" s="473" t="s">
        <v>1425</v>
      </c>
      <c r="F215" s="368" t="s">
        <v>1462</v>
      </c>
      <c r="G215" s="368"/>
      <c r="H215" s="486"/>
      <c r="I215" s="486"/>
      <c r="J215" s="486"/>
      <c r="K215" s="344"/>
    </row>
    <row r="216" spans="1:11" s="442" customFormat="1" ht="15" customHeight="1">
      <c r="A216" s="479"/>
      <c r="B216" s="475"/>
      <c r="C216" s="480" t="s">
        <v>1426</v>
      </c>
      <c r="D216" s="477">
        <v>10</v>
      </c>
      <c r="E216" s="473" t="s">
        <v>1425</v>
      </c>
      <c r="F216" s="368" t="s">
        <v>1462</v>
      </c>
      <c r="G216" s="368"/>
      <c r="H216" s="486"/>
      <c r="I216" s="486"/>
      <c r="J216" s="486"/>
      <c r="K216" s="342"/>
    </row>
    <row r="217" spans="1:11" s="442" customFormat="1" ht="15" customHeight="1">
      <c r="A217" s="458"/>
      <c r="B217" s="458"/>
      <c r="C217" s="459" t="s">
        <v>1459</v>
      </c>
      <c r="D217" s="460"/>
      <c r="E217" s="461"/>
      <c r="F217" s="361"/>
      <c r="G217" s="361"/>
      <c r="H217" s="462">
        <f>SUM(F215:G216)</f>
        <v>0</v>
      </c>
      <c r="I217" s="340"/>
      <c r="J217" s="340"/>
      <c r="K217" s="340">
        <f>SUM(I215:J216)</f>
        <v>0</v>
      </c>
    </row>
    <row r="218" spans="1:11" s="455" customFormat="1" ht="15" customHeight="1">
      <c r="A218" s="450"/>
      <c r="B218" s="450"/>
      <c r="C218" s="463"/>
      <c r="D218" s="452"/>
      <c r="E218" s="453"/>
      <c r="F218" s="360"/>
      <c r="G218" s="360"/>
      <c r="H218" s="464"/>
      <c r="I218" s="339"/>
      <c r="J218" s="339"/>
      <c r="K218" s="339"/>
    </row>
    <row r="219" spans="1:11" s="442" customFormat="1" ht="15" customHeight="1">
      <c r="A219" s="474"/>
      <c r="B219" s="475"/>
      <c r="C219" s="476" t="s">
        <v>1428</v>
      </c>
      <c r="D219" s="477">
        <v>20</v>
      </c>
      <c r="E219" s="473" t="s">
        <v>1425</v>
      </c>
      <c r="F219" s="363"/>
      <c r="G219" s="364"/>
      <c r="H219" s="478"/>
      <c r="I219" s="342">
        <f>D219*F219</f>
        <v>0</v>
      </c>
      <c r="J219" s="343"/>
      <c r="K219" s="344"/>
    </row>
    <row r="220" spans="1:11" s="442" customFormat="1" ht="15" customHeight="1">
      <c r="A220" s="479"/>
      <c r="B220" s="475"/>
      <c r="C220" s="480" t="s">
        <v>1429</v>
      </c>
      <c r="D220" s="477">
        <v>20</v>
      </c>
      <c r="E220" s="473" t="s">
        <v>1425</v>
      </c>
      <c r="F220" s="363"/>
      <c r="G220" s="365"/>
      <c r="H220" s="481"/>
      <c r="I220" s="342"/>
      <c r="J220" s="342">
        <f>D220*G220</f>
        <v>0</v>
      </c>
      <c r="K220" s="342"/>
    </row>
    <row r="221" spans="1:11" s="442" customFormat="1" ht="15" customHeight="1">
      <c r="A221" s="458"/>
      <c r="B221" s="458"/>
      <c r="C221" s="459" t="s">
        <v>1423</v>
      </c>
      <c r="D221" s="460"/>
      <c r="E221" s="461"/>
      <c r="F221" s="361"/>
      <c r="G221" s="361"/>
      <c r="H221" s="462">
        <f>SUM(F219:G220)</f>
        <v>0</v>
      </c>
      <c r="I221" s="340"/>
      <c r="J221" s="340"/>
      <c r="K221" s="340">
        <f>SUM(I219:J220)</f>
        <v>0</v>
      </c>
    </row>
    <row r="222" spans="1:11" s="455" customFormat="1" ht="15" customHeight="1">
      <c r="A222" s="450"/>
      <c r="B222" s="450"/>
      <c r="C222" s="482"/>
      <c r="D222" s="452"/>
      <c r="E222" s="453"/>
      <c r="F222" s="360"/>
      <c r="G222" s="360"/>
      <c r="H222" s="464"/>
      <c r="I222" s="339"/>
      <c r="J222" s="339"/>
      <c r="K222" s="339"/>
    </row>
    <row r="223" spans="1:11" s="442" customFormat="1" ht="15" customHeight="1">
      <c r="A223" s="447" t="s">
        <v>1484</v>
      </c>
      <c r="B223" s="448"/>
      <c r="C223" s="449"/>
      <c r="D223" s="448"/>
      <c r="E223" s="448"/>
      <c r="F223" s="358"/>
      <c r="G223" s="358"/>
      <c r="H223" s="448"/>
      <c r="I223" s="337"/>
      <c r="J223" s="337"/>
      <c r="K223" s="338"/>
    </row>
    <row r="224" spans="1:11" s="455" customFormat="1" ht="15" customHeight="1">
      <c r="A224" s="450"/>
      <c r="B224" s="450"/>
      <c r="C224" s="472" t="s">
        <v>1485</v>
      </c>
      <c r="D224" s="452">
        <v>15</v>
      </c>
      <c r="E224" s="465" t="s">
        <v>1417</v>
      </c>
      <c r="F224" s="359"/>
      <c r="G224" s="359"/>
      <c r="H224" s="464"/>
      <c r="I224" s="339">
        <f>PRODUCT(D224*F224)</f>
        <v>0</v>
      </c>
      <c r="J224" s="339"/>
      <c r="K224" s="339"/>
    </row>
    <row r="225" spans="1:11" s="455" customFormat="1" ht="15" customHeight="1">
      <c r="A225" s="450"/>
      <c r="B225" s="450"/>
      <c r="C225" s="472" t="s">
        <v>1486</v>
      </c>
      <c r="D225" s="452">
        <v>25</v>
      </c>
      <c r="E225" s="465" t="s">
        <v>1417</v>
      </c>
      <c r="F225" s="359"/>
      <c r="G225" s="359"/>
      <c r="H225" s="464"/>
      <c r="I225" s="339">
        <f>PRODUCT(D225*F225)</f>
        <v>0</v>
      </c>
      <c r="J225" s="339"/>
      <c r="K225" s="339"/>
    </row>
    <row r="226" spans="1:11" s="455" customFormat="1" ht="15" customHeight="1">
      <c r="A226" s="450"/>
      <c r="B226" s="450" t="s">
        <v>1421</v>
      </c>
      <c r="C226" s="472" t="s">
        <v>1422</v>
      </c>
      <c r="D226" s="452">
        <f>SUM(D224:D225)</f>
        <v>40</v>
      </c>
      <c r="E226" s="465" t="s">
        <v>1417</v>
      </c>
      <c r="F226" s="359"/>
      <c r="G226" s="359"/>
      <c r="H226" s="464"/>
      <c r="I226" s="339"/>
      <c r="J226" s="339">
        <f>PRODUCT(D226*G226)</f>
        <v>0</v>
      </c>
      <c r="K226" s="339"/>
    </row>
    <row r="227" spans="1:11" s="442" customFormat="1" ht="15" customHeight="1">
      <c r="A227" s="458"/>
      <c r="B227" s="458"/>
      <c r="C227" s="459" t="s">
        <v>1423</v>
      </c>
      <c r="D227" s="460"/>
      <c r="E227" s="461"/>
      <c r="F227" s="361"/>
      <c r="G227" s="361"/>
      <c r="H227" s="462">
        <f>SUM(F224:G226)</f>
        <v>0</v>
      </c>
      <c r="I227" s="340"/>
      <c r="J227" s="340"/>
      <c r="K227" s="340">
        <f>SUM(I224:J226)</f>
        <v>0</v>
      </c>
    </row>
    <row r="228" spans="1:11" s="455" customFormat="1" ht="15" customHeight="1">
      <c r="A228" s="450"/>
      <c r="B228" s="450"/>
      <c r="C228" s="463"/>
      <c r="D228" s="452"/>
      <c r="E228" s="453"/>
      <c r="F228" s="360"/>
      <c r="G228" s="360"/>
      <c r="H228" s="464"/>
      <c r="I228" s="339"/>
      <c r="J228" s="339"/>
      <c r="K228" s="339"/>
    </row>
    <row r="229" spans="1:11" s="442" customFormat="1" ht="15" customHeight="1">
      <c r="A229" s="474"/>
      <c r="B229" s="475"/>
      <c r="C229" s="476" t="s">
        <v>2278</v>
      </c>
      <c r="D229" s="477">
        <v>2</v>
      </c>
      <c r="E229" s="473" t="s">
        <v>149</v>
      </c>
      <c r="F229" s="363"/>
      <c r="G229" s="364"/>
      <c r="H229" s="478"/>
      <c r="I229" s="342">
        <f>D229*F229</f>
        <v>0</v>
      </c>
      <c r="J229" s="343"/>
      <c r="K229" s="344"/>
    </row>
    <row r="230" spans="1:11" s="442" customFormat="1" ht="15" customHeight="1">
      <c r="A230" s="479"/>
      <c r="B230" s="475"/>
      <c r="C230" s="480" t="s">
        <v>2279</v>
      </c>
      <c r="D230" s="477">
        <v>2</v>
      </c>
      <c r="E230" s="473" t="s">
        <v>149</v>
      </c>
      <c r="F230" s="363"/>
      <c r="G230" s="365"/>
      <c r="H230" s="481"/>
      <c r="I230" s="342"/>
      <c r="J230" s="342">
        <f>D230*G230</f>
        <v>0</v>
      </c>
      <c r="K230" s="342"/>
    </row>
    <row r="231" spans="1:11" s="442" customFormat="1" ht="15" customHeight="1">
      <c r="A231" s="458"/>
      <c r="B231" s="458"/>
      <c r="C231" s="459" t="s">
        <v>2280</v>
      </c>
      <c r="D231" s="460"/>
      <c r="E231" s="461"/>
      <c r="F231" s="361"/>
      <c r="G231" s="361"/>
      <c r="H231" s="462">
        <f>SUM(F229:G230)</f>
        <v>0</v>
      </c>
      <c r="I231" s="340"/>
      <c r="J231" s="340"/>
      <c r="K231" s="340">
        <f>SUM(I229:J230)</f>
        <v>0</v>
      </c>
    </row>
    <row r="232" spans="1:11" s="455" customFormat="1" ht="15" customHeight="1">
      <c r="A232" s="450"/>
      <c r="B232" s="450"/>
      <c r="C232" s="463"/>
      <c r="D232" s="452"/>
      <c r="E232" s="453"/>
      <c r="F232" s="360"/>
      <c r="G232" s="360"/>
      <c r="H232" s="464"/>
      <c r="I232" s="339"/>
      <c r="J232" s="339"/>
      <c r="K232" s="339"/>
    </row>
    <row r="233" spans="1:11" s="442" customFormat="1" ht="15" customHeight="1">
      <c r="A233" s="474"/>
      <c r="B233" s="475"/>
      <c r="C233" s="476" t="s">
        <v>1428</v>
      </c>
      <c r="D233" s="477">
        <v>1</v>
      </c>
      <c r="E233" s="473" t="s">
        <v>1425</v>
      </c>
      <c r="F233" s="363"/>
      <c r="G233" s="364"/>
      <c r="H233" s="478"/>
      <c r="I233" s="342">
        <f>D233*F233</f>
        <v>0</v>
      </c>
      <c r="J233" s="343"/>
      <c r="K233" s="344"/>
    </row>
    <row r="234" spans="1:11" s="442" customFormat="1" ht="15" customHeight="1">
      <c r="A234" s="479"/>
      <c r="B234" s="475"/>
      <c r="C234" s="480" t="s">
        <v>1429</v>
      </c>
      <c r="D234" s="477">
        <v>1</v>
      </c>
      <c r="E234" s="473" t="s">
        <v>1425</v>
      </c>
      <c r="F234" s="363"/>
      <c r="G234" s="365"/>
      <c r="H234" s="481"/>
      <c r="I234" s="342"/>
      <c r="J234" s="342">
        <f>D234*G234</f>
        <v>0</v>
      </c>
      <c r="K234" s="342"/>
    </row>
    <row r="235" spans="1:11" s="442" customFormat="1" ht="15" customHeight="1">
      <c r="A235" s="458"/>
      <c r="B235" s="458"/>
      <c r="C235" s="459" t="s">
        <v>1423</v>
      </c>
      <c r="D235" s="460"/>
      <c r="E235" s="461"/>
      <c r="F235" s="361"/>
      <c r="G235" s="361"/>
      <c r="H235" s="462">
        <f>SUM(F233:G234)</f>
        <v>0</v>
      </c>
      <c r="I235" s="340"/>
      <c r="J235" s="340"/>
      <c r="K235" s="340">
        <f>SUM(I233:J234)</f>
        <v>0</v>
      </c>
    </row>
    <row r="236" spans="1:11" s="455" customFormat="1" ht="15" customHeight="1">
      <c r="A236" s="450"/>
      <c r="B236" s="450"/>
      <c r="C236" s="482"/>
      <c r="D236" s="452"/>
      <c r="E236" s="453"/>
      <c r="F236" s="360"/>
      <c r="G236" s="360"/>
      <c r="H236" s="464"/>
      <c r="I236" s="339"/>
      <c r="J236" s="339"/>
      <c r="K236" s="339"/>
    </row>
    <row r="237" spans="1:11" s="442" customFormat="1" ht="15" customHeight="1">
      <c r="A237" s="447" t="s">
        <v>1487</v>
      </c>
      <c r="B237" s="448"/>
      <c r="C237" s="449"/>
      <c r="D237" s="448"/>
      <c r="E237" s="448"/>
      <c r="F237" s="358"/>
      <c r="G237" s="358"/>
      <c r="H237" s="448"/>
      <c r="I237" s="337"/>
      <c r="J237" s="337"/>
      <c r="K237" s="338"/>
    </row>
    <row r="238" spans="1:11" s="442" customFormat="1" ht="15" customHeight="1">
      <c r="A238" s="479" t="s">
        <v>1488</v>
      </c>
      <c r="B238" s="479"/>
      <c r="C238" s="480" t="s">
        <v>1489</v>
      </c>
      <c r="D238" s="477">
        <v>1</v>
      </c>
      <c r="E238" s="474" t="s">
        <v>149</v>
      </c>
      <c r="F238" s="363"/>
      <c r="G238" s="363"/>
      <c r="H238" s="489"/>
      <c r="I238" s="342">
        <f>PRODUCT(D238*F238)</f>
        <v>0</v>
      </c>
      <c r="J238" s="342"/>
      <c r="K238" s="342"/>
    </row>
    <row r="239" spans="1:11" s="442" customFormat="1" ht="39.95" customHeight="1">
      <c r="A239" s="479"/>
      <c r="B239" s="479"/>
      <c r="C239" s="488" t="s">
        <v>1490</v>
      </c>
      <c r="D239" s="477"/>
      <c r="E239" s="474"/>
      <c r="F239" s="369"/>
      <c r="G239" s="369"/>
      <c r="H239" s="489"/>
      <c r="I239" s="342"/>
      <c r="J239" s="342"/>
      <c r="K239" s="342"/>
    </row>
    <row r="240" spans="1:11" s="442" customFormat="1" ht="15" customHeight="1">
      <c r="A240" s="479"/>
      <c r="B240" s="465" t="s">
        <v>1491</v>
      </c>
      <c r="C240" s="480" t="s">
        <v>1492</v>
      </c>
      <c r="D240" s="477">
        <v>1</v>
      </c>
      <c r="E240" s="474" t="s">
        <v>149</v>
      </c>
      <c r="F240" s="364"/>
      <c r="G240" s="363"/>
      <c r="H240" s="478"/>
      <c r="I240" s="343"/>
      <c r="J240" s="342">
        <f>D240*G240</f>
        <v>0</v>
      </c>
      <c r="K240" s="344"/>
    </row>
    <row r="241" spans="1:11" s="442" customFormat="1" ht="15" customHeight="1">
      <c r="A241" s="458"/>
      <c r="B241" s="458"/>
      <c r="C241" s="459" t="s">
        <v>1493</v>
      </c>
      <c r="D241" s="460"/>
      <c r="E241" s="461"/>
      <c r="F241" s="361"/>
      <c r="G241" s="361"/>
      <c r="H241" s="462">
        <f>SUM(F238:G240)</f>
        <v>0</v>
      </c>
      <c r="I241" s="340"/>
      <c r="J241" s="340"/>
      <c r="K241" s="340">
        <f>SUM(I238:J240)</f>
        <v>0</v>
      </c>
    </row>
    <row r="242" spans="1:11" s="455" customFormat="1" ht="15" customHeight="1">
      <c r="A242" s="450"/>
      <c r="B242" s="450"/>
      <c r="C242" s="457"/>
      <c r="D242" s="452"/>
      <c r="E242" s="453"/>
      <c r="F242" s="360"/>
      <c r="G242" s="360"/>
      <c r="H242" s="454"/>
      <c r="I242" s="339"/>
      <c r="J242" s="339"/>
      <c r="K242" s="339"/>
    </row>
    <row r="243" spans="1:11" s="455" customFormat="1" ht="15" customHeight="1">
      <c r="A243" s="450" t="s">
        <v>1494</v>
      </c>
      <c r="B243" s="450"/>
      <c r="C243" s="457" t="s">
        <v>1441</v>
      </c>
      <c r="D243" s="452">
        <v>1</v>
      </c>
      <c r="E243" s="453" t="s">
        <v>149</v>
      </c>
      <c r="F243" s="359"/>
      <c r="G243" s="359"/>
      <c r="H243" s="454"/>
      <c r="I243" s="339">
        <f>D243*F243</f>
        <v>0</v>
      </c>
      <c r="J243" s="339"/>
      <c r="K243" s="339"/>
    </row>
    <row r="244" spans="1:11" s="455" customFormat="1" ht="15" customHeight="1">
      <c r="A244" s="450"/>
      <c r="B244" s="465" t="s">
        <v>1384</v>
      </c>
      <c r="C244" s="457" t="s">
        <v>1442</v>
      </c>
      <c r="D244" s="452">
        <v>1</v>
      </c>
      <c r="E244" s="453" t="s">
        <v>149</v>
      </c>
      <c r="F244" s="359"/>
      <c r="G244" s="359"/>
      <c r="H244" s="454"/>
      <c r="I244" s="339"/>
      <c r="J244" s="339">
        <f>D244*G244</f>
        <v>0</v>
      </c>
      <c r="K244" s="339"/>
    </row>
    <row r="245" spans="1:11" s="455" customFormat="1" ht="15" customHeight="1">
      <c r="A245" s="466"/>
      <c r="B245" s="466"/>
      <c r="C245" s="459" t="s">
        <v>1443</v>
      </c>
      <c r="D245" s="468"/>
      <c r="E245" s="469"/>
      <c r="F245" s="362"/>
      <c r="G245" s="362"/>
      <c r="H245" s="470">
        <f>SUM(F243:G244)</f>
        <v>0</v>
      </c>
      <c r="I245" s="341"/>
      <c r="J245" s="341"/>
      <c r="K245" s="341">
        <f>SUM(I243:J244)</f>
        <v>0</v>
      </c>
    </row>
    <row r="246" spans="1:11" s="455" customFormat="1" ht="15" customHeight="1">
      <c r="A246" s="450"/>
      <c r="B246" s="450"/>
      <c r="C246" s="457"/>
      <c r="D246" s="452"/>
      <c r="E246" s="453"/>
      <c r="F246" s="360"/>
      <c r="G246" s="360"/>
      <c r="H246" s="454"/>
      <c r="I246" s="339"/>
      <c r="J246" s="339"/>
      <c r="K246" s="339"/>
    </row>
    <row r="247" spans="1:11" s="455" customFormat="1" ht="15" customHeight="1">
      <c r="A247" s="450" t="s">
        <v>1495</v>
      </c>
      <c r="B247" s="450"/>
      <c r="C247" s="457" t="s">
        <v>1447</v>
      </c>
      <c r="D247" s="452">
        <v>3</v>
      </c>
      <c r="E247" s="453" t="s">
        <v>149</v>
      </c>
      <c r="F247" s="359"/>
      <c r="G247" s="359"/>
      <c r="H247" s="454"/>
      <c r="I247" s="339">
        <f>PRODUCT(D247*F247)</f>
        <v>0</v>
      </c>
      <c r="J247" s="339"/>
      <c r="K247" s="339"/>
    </row>
    <row r="248" spans="1:11" s="455" customFormat="1" ht="15" customHeight="1">
      <c r="A248" s="450" t="s">
        <v>1496</v>
      </c>
      <c r="B248" s="450"/>
      <c r="C248" s="457" t="s">
        <v>1449</v>
      </c>
      <c r="D248" s="452">
        <v>1</v>
      </c>
      <c r="E248" s="453" t="s">
        <v>149</v>
      </c>
      <c r="F248" s="359"/>
      <c r="G248" s="359"/>
      <c r="H248" s="454"/>
      <c r="I248" s="339">
        <f>PRODUCT(D248*F248)</f>
        <v>0</v>
      </c>
      <c r="J248" s="339"/>
      <c r="K248" s="339"/>
    </row>
    <row r="249" spans="1:11" s="455" customFormat="1" ht="15" customHeight="1">
      <c r="A249" s="450"/>
      <c r="B249" s="450" t="s">
        <v>1394</v>
      </c>
      <c r="C249" s="457" t="s">
        <v>1450</v>
      </c>
      <c r="D249" s="452">
        <f>SUM(D247:D248)</f>
        <v>4</v>
      </c>
      <c r="E249" s="453" t="s">
        <v>149</v>
      </c>
      <c r="F249" s="359"/>
      <c r="G249" s="359"/>
      <c r="H249" s="454"/>
      <c r="I249" s="339"/>
      <c r="J249" s="339">
        <f>PRODUCT(D249*G249)</f>
        <v>0</v>
      </c>
      <c r="K249" s="339"/>
    </row>
    <row r="250" spans="1:11" s="442" customFormat="1" ht="15" customHeight="1">
      <c r="A250" s="458"/>
      <c r="B250" s="458"/>
      <c r="C250" s="459" t="s">
        <v>1497</v>
      </c>
      <c r="D250" s="460"/>
      <c r="E250" s="461"/>
      <c r="F250" s="361"/>
      <c r="G250" s="361"/>
      <c r="H250" s="462">
        <f>SUM(F248:G249)</f>
        <v>0</v>
      </c>
      <c r="I250" s="340"/>
      <c r="J250" s="340"/>
      <c r="K250" s="340">
        <f>SUM(I247:J249)</f>
        <v>0</v>
      </c>
    </row>
    <row r="251" spans="1:11" s="455" customFormat="1" ht="15" customHeight="1">
      <c r="A251" s="450"/>
      <c r="B251" s="450"/>
      <c r="C251" s="457"/>
      <c r="D251" s="452"/>
      <c r="E251" s="453"/>
      <c r="F251" s="360"/>
      <c r="G251" s="360"/>
      <c r="H251" s="454"/>
      <c r="I251" s="339"/>
      <c r="J251" s="339"/>
      <c r="K251" s="339"/>
    </row>
    <row r="252" spans="1:11" s="455" customFormat="1" ht="15" customHeight="1">
      <c r="A252" s="450"/>
      <c r="B252" s="450"/>
      <c r="C252" s="457"/>
      <c r="D252" s="452"/>
      <c r="E252" s="453"/>
      <c r="F252" s="360"/>
      <c r="G252" s="360"/>
      <c r="H252" s="454"/>
      <c r="I252" s="339"/>
      <c r="J252" s="339"/>
      <c r="K252" s="339"/>
    </row>
    <row r="253" spans="1:11" s="455" customFormat="1" ht="15" customHeight="1">
      <c r="A253" s="450"/>
      <c r="B253" s="450"/>
      <c r="C253" s="457"/>
      <c r="D253" s="452"/>
      <c r="E253" s="453"/>
      <c r="F253" s="360"/>
      <c r="G253" s="360"/>
      <c r="H253" s="454"/>
      <c r="I253" s="339"/>
      <c r="J253" s="339"/>
      <c r="K253" s="339"/>
    </row>
    <row r="254" spans="1:11" s="455" customFormat="1" ht="15" customHeight="1">
      <c r="A254" s="450"/>
      <c r="B254" s="450"/>
      <c r="C254" s="457"/>
      <c r="D254" s="452"/>
      <c r="E254" s="453"/>
      <c r="F254" s="360"/>
      <c r="G254" s="360"/>
      <c r="H254" s="454"/>
      <c r="I254" s="339"/>
      <c r="J254" s="339"/>
      <c r="K254" s="339"/>
    </row>
    <row r="255" spans="1:11" s="455" customFormat="1" ht="15" customHeight="1">
      <c r="A255" s="450"/>
      <c r="B255" s="450"/>
      <c r="C255" s="457"/>
      <c r="D255" s="452"/>
      <c r="E255" s="453"/>
      <c r="F255" s="360"/>
      <c r="G255" s="360"/>
      <c r="H255" s="454"/>
      <c r="I255" s="339"/>
      <c r="J255" s="339"/>
      <c r="K255" s="339"/>
    </row>
    <row r="256" spans="1:11" s="442" customFormat="1" ht="15" customHeight="1">
      <c r="A256" s="479"/>
      <c r="B256" s="479"/>
      <c r="C256" s="476" t="s">
        <v>1498</v>
      </c>
      <c r="D256" s="477">
        <v>5</v>
      </c>
      <c r="E256" s="473" t="s">
        <v>70</v>
      </c>
      <c r="F256" s="363"/>
      <c r="G256" s="363"/>
      <c r="H256" s="490"/>
      <c r="I256" s="342">
        <f>PRODUCT(D256*F256)</f>
        <v>0</v>
      </c>
      <c r="J256" s="342"/>
      <c r="K256" s="342"/>
    </row>
    <row r="257" spans="1:11" s="442" customFormat="1" ht="15" customHeight="1">
      <c r="A257" s="479"/>
      <c r="B257" s="479"/>
      <c r="C257" s="476" t="s">
        <v>1499</v>
      </c>
      <c r="D257" s="477">
        <v>2</v>
      </c>
      <c r="E257" s="473" t="s">
        <v>70</v>
      </c>
      <c r="F257" s="363"/>
      <c r="G257" s="363"/>
      <c r="H257" s="490"/>
      <c r="I257" s="342">
        <f>PRODUCT(D257*F257)</f>
        <v>0</v>
      </c>
      <c r="J257" s="342"/>
      <c r="K257" s="342"/>
    </row>
    <row r="258" spans="1:11" s="442" customFormat="1" ht="39.95" customHeight="1">
      <c r="A258" s="487"/>
      <c r="B258" s="479"/>
      <c r="C258" s="488" t="s">
        <v>1476</v>
      </c>
      <c r="D258" s="477"/>
      <c r="E258" s="474"/>
      <c r="F258" s="369"/>
      <c r="G258" s="369"/>
      <c r="H258" s="489"/>
      <c r="I258" s="342"/>
      <c r="J258" s="342"/>
      <c r="K258" s="342"/>
    </row>
    <row r="259" spans="1:11" s="442" customFormat="1" ht="15" customHeight="1">
      <c r="A259" s="479"/>
      <c r="B259" s="473" t="s">
        <v>1477</v>
      </c>
      <c r="C259" s="476" t="s">
        <v>1478</v>
      </c>
      <c r="D259" s="477">
        <f>SUM(D256:D258)</f>
        <v>7</v>
      </c>
      <c r="E259" s="473" t="s">
        <v>70</v>
      </c>
      <c r="F259" s="363"/>
      <c r="G259" s="363"/>
      <c r="H259" s="490"/>
      <c r="I259" s="342"/>
      <c r="J259" s="342">
        <f>PRODUCT(D259*G259)</f>
        <v>0</v>
      </c>
      <c r="K259" s="342"/>
    </row>
    <row r="260" spans="1:11" s="442" customFormat="1" ht="15" customHeight="1">
      <c r="A260" s="458"/>
      <c r="B260" s="458"/>
      <c r="C260" s="459" t="s">
        <v>1479</v>
      </c>
      <c r="D260" s="460"/>
      <c r="E260" s="461"/>
      <c r="F260" s="361"/>
      <c r="G260" s="361"/>
      <c r="H260" s="462">
        <f>SUM(F256:G259)</f>
        <v>0</v>
      </c>
      <c r="I260" s="340"/>
      <c r="J260" s="340"/>
      <c r="K260" s="340">
        <f>SUM(I256:J259)</f>
        <v>0</v>
      </c>
    </row>
    <row r="261" spans="1:11" s="455" customFormat="1" ht="15" customHeight="1">
      <c r="A261" s="450"/>
      <c r="B261" s="450"/>
      <c r="C261" s="457"/>
      <c r="D261" s="452"/>
      <c r="E261" s="453"/>
      <c r="F261" s="360"/>
      <c r="G261" s="360"/>
      <c r="H261" s="454"/>
      <c r="I261" s="339"/>
      <c r="J261" s="339"/>
      <c r="K261" s="339"/>
    </row>
    <row r="262" spans="1:11" s="442" customFormat="1" ht="15" customHeight="1">
      <c r="A262" s="479"/>
      <c r="B262" s="479"/>
      <c r="C262" s="476" t="s">
        <v>1500</v>
      </c>
      <c r="D262" s="477">
        <v>3</v>
      </c>
      <c r="E262" s="473" t="s">
        <v>70</v>
      </c>
      <c r="F262" s="363"/>
      <c r="G262" s="363"/>
      <c r="H262" s="490"/>
      <c r="I262" s="342">
        <f>PRODUCT(D262*F262)</f>
        <v>0</v>
      </c>
      <c r="J262" s="342"/>
      <c r="K262" s="342"/>
    </row>
    <row r="263" spans="1:11" s="442" customFormat="1" ht="15" customHeight="1">
      <c r="A263" s="479"/>
      <c r="B263" s="479"/>
      <c r="C263" s="476" t="s">
        <v>1501</v>
      </c>
      <c r="D263" s="477">
        <v>3</v>
      </c>
      <c r="E263" s="473" t="s">
        <v>70</v>
      </c>
      <c r="F263" s="363"/>
      <c r="G263" s="363"/>
      <c r="H263" s="490"/>
      <c r="I263" s="342">
        <f>PRODUCT(D263*F263)</f>
        <v>0</v>
      </c>
      <c r="J263" s="342"/>
      <c r="K263" s="342"/>
    </row>
    <row r="264" spans="1:11" s="442" customFormat="1" ht="15" customHeight="1">
      <c r="A264" s="479"/>
      <c r="B264" s="479"/>
      <c r="C264" s="476" t="s">
        <v>1456</v>
      </c>
      <c r="D264" s="477">
        <v>3</v>
      </c>
      <c r="E264" s="473" t="s">
        <v>70</v>
      </c>
      <c r="F264" s="363"/>
      <c r="G264" s="363"/>
      <c r="H264" s="490"/>
      <c r="I264" s="342">
        <f>PRODUCT(D264*F264)</f>
        <v>0</v>
      </c>
      <c r="J264" s="342"/>
      <c r="K264" s="342"/>
    </row>
    <row r="265" spans="1:11" s="442" customFormat="1" ht="15" customHeight="1">
      <c r="A265" s="479"/>
      <c r="B265" s="473" t="s">
        <v>1413</v>
      </c>
      <c r="C265" s="476" t="s">
        <v>1414</v>
      </c>
      <c r="D265" s="477">
        <f>SUM(D262:D264)</f>
        <v>9</v>
      </c>
      <c r="E265" s="473" t="s">
        <v>70</v>
      </c>
      <c r="F265" s="363"/>
      <c r="G265" s="363"/>
      <c r="H265" s="490"/>
      <c r="I265" s="342"/>
      <c r="J265" s="342">
        <f>PRODUCT(D265*G265)</f>
        <v>0</v>
      </c>
      <c r="K265" s="342"/>
    </row>
    <row r="266" spans="1:11" s="442" customFormat="1" ht="15" customHeight="1">
      <c r="A266" s="458"/>
      <c r="B266" s="458"/>
      <c r="C266" s="459" t="s">
        <v>1479</v>
      </c>
      <c r="D266" s="460"/>
      <c r="E266" s="461"/>
      <c r="F266" s="361"/>
      <c r="G266" s="361"/>
      <c r="H266" s="462">
        <f>SUM(F262:G265)</f>
        <v>0</v>
      </c>
      <c r="I266" s="340"/>
      <c r="J266" s="340"/>
      <c r="K266" s="340">
        <f>SUM(I262:J265)</f>
        <v>0</v>
      </c>
    </row>
    <row r="267" spans="1:11" s="442" customFormat="1" ht="15" customHeight="1">
      <c r="A267" s="479"/>
      <c r="B267" s="479"/>
      <c r="C267" s="476"/>
      <c r="D267" s="477"/>
      <c r="E267" s="474"/>
      <c r="F267" s="369"/>
      <c r="G267" s="369"/>
      <c r="H267" s="489"/>
      <c r="I267" s="342"/>
      <c r="J267" s="342"/>
      <c r="K267" s="342"/>
    </row>
    <row r="268" spans="1:11" s="442" customFormat="1" ht="15" customHeight="1">
      <c r="A268" s="474"/>
      <c r="B268" s="475"/>
      <c r="C268" s="476" t="s">
        <v>1458</v>
      </c>
      <c r="D268" s="477">
        <v>2</v>
      </c>
      <c r="E268" s="473" t="s">
        <v>1425</v>
      </c>
      <c r="F268" s="363"/>
      <c r="G268" s="364"/>
      <c r="H268" s="478"/>
      <c r="I268" s="342">
        <f>D268*F268</f>
        <v>0</v>
      </c>
      <c r="J268" s="343"/>
      <c r="K268" s="344"/>
    </row>
    <row r="269" spans="1:11" s="442" customFormat="1" ht="15" customHeight="1">
      <c r="A269" s="479"/>
      <c r="B269" s="475"/>
      <c r="C269" s="480" t="s">
        <v>1426</v>
      </c>
      <c r="D269" s="477">
        <v>2</v>
      </c>
      <c r="E269" s="473" t="s">
        <v>1425</v>
      </c>
      <c r="F269" s="363"/>
      <c r="G269" s="365"/>
      <c r="H269" s="481"/>
      <c r="I269" s="342"/>
      <c r="J269" s="342">
        <f>D269*G269</f>
        <v>0</v>
      </c>
      <c r="K269" s="342"/>
    </row>
    <row r="270" spans="1:11" s="442" customFormat="1" ht="15" customHeight="1">
      <c r="A270" s="458"/>
      <c r="B270" s="458"/>
      <c r="C270" s="459" t="s">
        <v>1459</v>
      </c>
      <c r="D270" s="460"/>
      <c r="E270" s="461"/>
      <c r="F270" s="361"/>
      <c r="G270" s="361"/>
      <c r="H270" s="462">
        <f>SUM(F268:G269)</f>
        <v>0</v>
      </c>
      <c r="I270" s="340"/>
      <c r="J270" s="340"/>
      <c r="K270" s="340">
        <f>SUM(I268:J269)</f>
        <v>0</v>
      </c>
    </row>
    <row r="271" spans="1:11" s="455" customFormat="1" ht="15" customHeight="1">
      <c r="A271" s="450"/>
      <c r="B271" s="450"/>
      <c r="C271" s="482"/>
      <c r="D271" s="452"/>
      <c r="E271" s="453"/>
      <c r="F271" s="360"/>
      <c r="G271" s="360"/>
      <c r="H271" s="464"/>
      <c r="I271" s="339"/>
      <c r="J271" s="339"/>
      <c r="K271" s="339"/>
    </row>
    <row r="272" spans="1:11" s="455" customFormat="1" ht="15" customHeight="1">
      <c r="A272" s="450"/>
      <c r="B272" s="450"/>
      <c r="C272" s="482"/>
      <c r="D272" s="452"/>
      <c r="E272" s="453"/>
      <c r="F272" s="360"/>
      <c r="G272" s="360"/>
      <c r="H272" s="464"/>
      <c r="I272" s="339"/>
      <c r="J272" s="339"/>
      <c r="K272" s="339"/>
    </row>
    <row r="273" spans="1:11" s="442" customFormat="1" ht="15" customHeight="1">
      <c r="A273" s="447" t="s">
        <v>1502</v>
      </c>
      <c r="B273" s="448"/>
      <c r="C273" s="449"/>
      <c r="D273" s="448"/>
      <c r="E273" s="448"/>
      <c r="F273" s="358"/>
      <c r="G273" s="358"/>
      <c r="H273" s="448"/>
      <c r="I273" s="337"/>
      <c r="J273" s="337"/>
      <c r="K273" s="338"/>
    </row>
    <row r="274" spans="1:11" s="442" customFormat="1" ht="15" customHeight="1">
      <c r="A274" s="479" t="s">
        <v>1503</v>
      </c>
      <c r="B274" s="479"/>
      <c r="C274" s="480" t="s">
        <v>1489</v>
      </c>
      <c r="D274" s="477">
        <v>1</v>
      </c>
      <c r="E274" s="474" t="s">
        <v>149</v>
      </c>
      <c r="F274" s="363"/>
      <c r="G274" s="363"/>
      <c r="H274" s="489"/>
      <c r="I274" s="342">
        <f>PRODUCT(D274*F274)</f>
        <v>0</v>
      </c>
      <c r="J274" s="342"/>
      <c r="K274" s="342"/>
    </row>
    <row r="275" spans="1:11" s="442" customFormat="1" ht="39.95" customHeight="1">
      <c r="A275" s="479"/>
      <c r="B275" s="479"/>
      <c r="C275" s="488" t="s">
        <v>1490</v>
      </c>
      <c r="D275" s="477"/>
      <c r="E275" s="474"/>
      <c r="F275" s="369"/>
      <c r="G275" s="369"/>
      <c r="H275" s="489"/>
      <c r="I275" s="342"/>
      <c r="J275" s="342"/>
      <c r="K275" s="342"/>
    </row>
    <row r="276" spans="1:11" s="442" customFormat="1" ht="15" customHeight="1">
      <c r="A276" s="479"/>
      <c r="B276" s="465" t="s">
        <v>1491</v>
      </c>
      <c r="C276" s="480" t="s">
        <v>1492</v>
      </c>
      <c r="D276" s="477">
        <v>1</v>
      </c>
      <c r="E276" s="474" t="s">
        <v>149</v>
      </c>
      <c r="F276" s="364"/>
      <c r="G276" s="363"/>
      <c r="H276" s="478"/>
      <c r="I276" s="343"/>
      <c r="J276" s="342">
        <f>D276*G276</f>
        <v>0</v>
      </c>
      <c r="K276" s="344"/>
    </row>
    <row r="277" spans="1:11" s="442" customFormat="1" ht="15" customHeight="1">
      <c r="A277" s="458"/>
      <c r="B277" s="458"/>
      <c r="C277" s="459" t="s">
        <v>1493</v>
      </c>
      <c r="D277" s="460"/>
      <c r="E277" s="461"/>
      <c r="F277" s="361"/>
      <c r="G277" s="361"/>
      <c r="H277" s="462">
        <f>SUM(F274:G276)</f>
        <v>0</v>
      </c>
      <c r="I277" s="340"/>
      <c r="J277" s="340"/>
      <c r="K277" s="340">
        <f>SUM(I274:J276)</f>
        <v>0</v>
      </c>
    </row>
    <row r="278" spans="1:11" s="455" customFormat="1" ht="15" customHeight="1">
      <c r="A278" s="450"/>
      <c r="B278" s="450"/>
      <c r="C278" s="457"/>
      <c r="D278" s="452"/>
      <c r="E278" s="453"/>
      <c r="F278" s="360"/>
      <c r="G278" s="360"/>
      <c r="H278" s="454"/>
      <c r="I278" s="339"/>
      <c r="J278" s="339"/>
      <c r="K278" s="339"/>
    </row>
    <row r="279" spans="1:11" s="455" customFormat="1" ht="15" customHeight="1">
      <c r="A279" s="450" t="s">
        <v>1504</v>
      </c>
      <c r="B279" s="450"/>
      <c r="C279" s="457" t="s">
        <v>1441</v>
      </c>
      <c r="D279" s="452">
        <v>1</v>
      </c>
      <c r="E279" s="453" t="s">
        <v>149</v>
      </c>
      <c r="F279" s="359"/>
      <c r="G279" s="359"/>
      <c r="H279" s="454"/>
      <c r="I279" s="339">
        <f>D279*F279</f>
        <v>0</v>
      </c>
      <c r="J279" s="339"/>
      <c r="K279" s="339"/>
    </row>
    <row r="280" spans="1:11" s="455" customFormat="1" ht="15" customHeight="1">
      <c r="A280" s="450"/>
      <c r="B280" s="465" t="s">
        <v>1384</v>
      </c>
      <c r="C280" s="457" t="s">
        <v>1442</v>
      </c>
      <c r="D280" s="452">
        <v>1</v>
      </c>
      <c r="E280" s="453" t="s">
        <v>149</v>
      </c>
      <c r="F280" s="359"/>
      <c r="G280" s="359"/>
      <c r="H280" s="454"/>
      <c r="I280" s="339"/>
      <c r="J280" s="339">
        <f>D280*G280</f>
        <v>0</v>
      </c>
      <c r="K280" s="339"/>
    </row>
    <row r="281" spans="1:11" s="455" customFormat="1" ht="15" customHeight="1">
      <c r="A281" s="466"/>
      <c r="B281" s="466"/>
      <c r="C281" s="459" t="s">
        <v>1443</v>
      </c>
      <c r="D281" s="468"/>
      <c r="E281" s="469"/>
      <c r="F281" s="362"/>
      <c r="G281" s="362"/>
      <c r="H281" s="470">
        <f>SUM(F279:G280)</f>
        <v>0</v>
      </c>
      <c r="I281" s="341"/>
      <c r="J281" s="341"/>
      <c r="K281" s="341">
        <f>SUM(I279:J280)</f>
        <v>0</v>
      </c>
    </row>
    <row r="282" spans="1:11" s="455" customFormat="1" ht="15" customHeight="1">
      <c r="A282" s="450"/>
      <c r="B282" s="450"/>
      <c r="C282" s="457"/>
      <c r="D282" s="452"/>
      <c r="E282" s="453"/>
      <c r="F282" s="360"/>
      <c r="G282" s="360"/>
      <c r="H282" s="454"/>
      <c r="I282" s="339"/>
      <c r="J282" s="339"/>
      <c r="K282" s="339"/>
    </row>
    <row r="283" spans="1:11" s="455" customFormat="1" ht="15" customHeight="1">
      <c r="A283" s="450" t="s">
        <v>1505</v>
      </c>
      <c r="B283" s="450"/>
      <c r="C283" s="457" t="s">
        <v>1447</v>
      </c>
      <c r="D283" s="452">
        <v>6</v>
      </c>
      <c r="E283" s="453" t="s">
        <v>149</v>
      </c>
      <c r="F283" s="359"/>
      <c r="G283" s="359"/>
      <c r="H283" s="454"/>
      <c r="I283" s="339">
        <f>PRODUCT(D283*F283)</f>
        <v>0</v>
      </c>
      <c r="J283" s="339"/>
      <c r="K283" s="339"/>
    </row>
    <row r="284" spans="1:11" s="455" customFormat="1" ht="15" customHeight="1">
      <c r="A284" s="450"/>
      <c r="B284" s="450" t="s">
        <v>1394</v>
      </c>
      <c r="C284" s="457" t="s">
        <v>1450</v>
      </c>
      <c r="D284" s="452">
        <f>SUM(D283:D283)</f>
        <v>6</v>
      </c>
      <c r="E284" s="453" t="s">
        <v>149</v>
      </c>
      <c r="F284" s="359"/>
      <c r="G284" s="359"/>
      <c r="H284" s="454"/>
      <c r="I284" s="339"/>
      <c r="J284" s="339">
        <f>PRODUCT(D284*G284)</f>
        <v>0</v>
      </c>
      <c r="K284" s="339"/>
    </row>
    <row r="285" spans="1:11" s="442" customFormat="1" ht="15" customHeight="1">
      <c r="A285" s="458"/>
      <c r="B285" s="458"/>
      <c r="C285" s="459" t="s">
        <v>1497</v>
      </c>
      <c r="D285" s="460"/>
      <c r="E285" s="461"/>
      <c r="F285" s="361"/>
      <c r="G285" s="361"/>
      <c r="H285" s="462">
        <f>SUM(F283:G284)</f>
        <v>0</v>
      </c>
      <c r="I285" s="340"/>
      <c r="J285" s="340"/>
      <c r="K285" s="340">
        <f>SUM(I283:J284)</f>
        <v>0</v>
      </c>
    </row>
    <row r="286" spans="1:11" s="455" customFormat="1" ht="15" customHeight="1">
      <c r="A286" s="450"/>
      <c r="B286" s="450"/>
      <c r="C286" s="457"/>
      <c r="D286" s="452"/>
      <c r="E286" s="453"/>
      <c r="F286" s="360"/>
      <c r="G286" s="360"/>
      <c r="H286" s="454"/>
      <c r="I286" s="339"/>
      <c r="J286" s="339"/>
      <c r="K286" s="339"/>
    </row>
    <row r="287" spans="1:11" s="442" customFormat="1" ht="15" customHeight="1">
      <c r="A287" s="479"/>
      <c r="B287" s="479"/>
      <c r="C287" s="476" t="s">
        <v>1498</v>
      </c>
      <c r="D287" s="477">
        <v>9</v>
      </c>
      <c r="E287" s="473" t="s">
        <v>70</v>
      </c>
      <c r="F287" s="363"/>
      <c r="G287" s="363"/>
      <c r="H287" s="490"/>
      <c r="I287" s="342">
        <f>PRODUCT(D287*F287)</f>
        <v>0</v>
      </c>
      <c r="J287" s="342"/>
      <c r="K287" s="342"/>
    </row>
    <row r="288" spans="1:11" s="442" customFormat="1" ht="39.95" customHeight="1">
      <c r="A288" s="487"/>
      <c r="B288" s="479"/>
      <c r="C288" s="488" t="s">
        <v>1476</v>
      </c>
      <c r="D288" s="477"/>
      <c r="E288" s="474"/>
      <c r="F288" s="369"/>
      <c r="G288" s="369"/>
      <c r="H288" s="489"/>
      <c r="I288" s="342"/>
      <c r="J288" s="342"/>
      <c r="K288" s="342"/>
    </row>
    <row r="289" spans="1:11" s="442" customFormat="1" ht="15" customHeight="1">
      <c r="A289" s="479"/>
      <c r="B289" s="473" t="s">
        <v>1477</v>
      </c>
      <c r="C289" s="476" t="s">
        <v>1478</v>
      </c>
      <c r="D289" s="477">
        <f>SUM(D287:D288)</f>
        <v>9</v>
      </c>
      <c r="E289" s="473" t="s">
        <v>70</v>
      </c>
      <c r="F289" s="363"/>
      <c r="G289" s="363"/>
      <c r="H289" s="490"/>
      <c r="I289" s="342"/>
      <c r="J289" s="342">
        <f>PRODUCT(D289*G289)</f>
        <v>0</v>
      </c>
      <c r="K289" s="342"/>
    </row>
    <row r="290" spans="1:11" s="442" customFormat="1" ht="15" customHeight="1">
      <c r="A290" s="458"/>
      <c r="B290" s="458"/>
      <c r="C290" s="459" t="s">
        <v>1479</v>
      </c>
      <c r="D290" s="460"/>
      <c r="E290" s="461"/>
      <c r="F290" s="361"/>
      <c r="G290" s="361"/>
      <c r="H290" s="462">
        <f>SUM(F287:G289)</f>
        <v>0</v>
      </c>
      <c r="I290" s="340"/>
      <c r="J290" s="340"/>
      <c r="K290" s="340">
        <f>SUM(I287:J289)</f>
        <v>0</v>
      </c>
    </row>
    <row r="291" spans="1:11" s="455" customFormat="1" ht="15" customHeight="1">
      <c r="A291" s="450"/>
      <c r="B291" s="450"/>
      <c r="C291" s="457"/>
      <c r="D291" s="452"/>
      <c r="E291" s="453"/>
      <c r="F291" s="360"/>
      <c r="G291" s="360"/>
      <c r="H291" s="454"/>
      <c r="I291" s="339"/>
      <c r="J291" s="339"/>
      <c r="K291" s="339"/>
    </row>
    <row r="292" spans="1:11" s="442" customFormat="1" ht="15" customHeight="1">
      <c r="A292" s="479"/>
      <c r="B292" s="479"/>
      <c r="C292" s="476" t="s">
        <v>1500</v>
      </c>
      <c r="D292" s="477">
        <v>7</v>
      </c>
      <c r="E292" s="473" t="s">
        <v>70</v>
      </c>
      <c r="F292" s="363"/>
      <c r="G292" s="363"/>
      <c r="H292" s="490"/>
      <c r="I292" s="342">
        <f>PRODUCT(D292*F292)</f>
        <v>0</v>
      </c>
      <c r="J292" s="342"/>
      <c r="K292" s="342"/>
    </row>
    <row r="293" spans="1:11" s="442" customFormat="1" ht="15" customHeight="1">
      <c r="A293" s="479"/>
      <c r="B293" s="479"/>
      <c r="C293" s="476" t="s">
        <v>1506</v>
      </c>
      <c r="D293" s="477">
        <v>1</v>
      </c>
      <c r="E293" s="473" t="s">
        <v>70</v>
      </c>
      <c r="F293" s="363"/>
      <c r="G293" s="363"/>
      <c r="H293" s="490"/>
      <c r="I293" s="342">
        <f>PRODUCT(D293*F293)</f>
        <v>0</v>
      </c>
      <c r="J293" s="342"/>
      <c r="K293" s="342"/>
    </row>
    <row r="294" spans="1:11" s="442" customFormat="1" ht="15" customHeight="1">
      <c r="A294" s="479"/>
      <c r="B294" s="479"/>
      <c r="C294" s="476" t="s">
        <v>1507</v>
      </c>
      <c r="D294" s="477">
        <v>5</v>
      </c>
      <c r="E294" s="473" t="s">
        <v>70</v>
      </c>
      <c r="F294" s="363"/>
      <c r="G294" s="363"/>
      <c r="H294" s="490"/>
      <c r="I294" s="342">
        <f>PRODUCT(D294*F294)</f>
        <v>0</v>
      </c>
      <c r="J294" s="342"/>
      <c r="K294" s="342"/>
    </row>
    <row r="295" spans="1:11" s="442" customFormat="1" ht="15" customHeight="1">
      <c r="A295" s="479"/>
      <c r="B295" s="473" t="s">
        <v>1413</v>
      </c>
      <c r="C295" s="476" t="s">
        <v>1414</v>
      </c>
      <c r="D295" s="477">
        <f>SUM(D292:D294)</f>
        <v>13</v>
      </c>
      <c r="E295" s="473" t="s">
        <v>70</v>
      </c>
      <c r="F295" s="363"/>
      <c r="G295" s="363"/>
      <c r="H295" s="490"/>
      <c r="I295" s="342"/>
      <c r="J295" s="342">
        <f>PRODUCT(D295*G295)</f>
        <v>0</v>
      </c>
      <c r="K295" s="342"/>
    </row>
    <row r="296" spans="1:11" s="442" customFormat="1" ht="15" customHeight="1">
      <c r="A296" s="458"/>
      <c r="B296" s="458"/>
      <c r="C296" s="459" t="s">
        <v>1479</v>
      </c>
      <c r="D296" s="460"/>
      <c r="E296" s="461"/>
      <c r="F296" s="361"/>
      <c r="G296" s="361"/>
      <c r="H296" s="462">
        <f>SUM(F292:G295)</f>
        <v>0</v>
      </c>
      <c r="I296" s="340"/>
      <c r="J296" s="340"/>
      <c r="K296" s="340">
        <f>SUM(I292:J295)</f>
        <v>0</v>
      </c>
    </row>
    <row r="297" spans="1:11" s="442" customFormat="1" ht="15" customHeight="1">
      <c r="A297" s="479"/>
      <c r="B297" s="479"/>
      <c r="C297" s="476"/>
      <c r="D297" s="477"/>
      <c r="E297" s="474"/>
      <c r="F297" s="369"/>
      <c r="G297" s="369"/>
      <c r="H297" s="489"/>
      <c r="I297" s="342"/>
      <c r="J297" s="342"/>
      <c r="K297" s="342"/>
    </row>
    <row r="298" spans="1:11" s="442" customFormat="1" ht="15" customHeight="1">
      <c r="A298" s="474"/>
      <c r="B298" s="475"/>
      <c r="C298" s="476" t="s">
        <v>1458</v>
      </c>
      <c r="D298" s="477">
        <v>2</v>
      </c>
      <c r="E298" s="473" t="s">
        <v>1425</v>
      </c>
      <c r="F298" s="363"/>
      <c r="G298" s="364"/>
      <c r="H298" s="478"/>
      <c r="I298" s="342">
        <f>D298*F298</f>
        <v>0</v>
      </c>
      <c r="J298" s="343"/>
      <c r="K298" s="344"/>
    </row>
    <row r="299" spans="1:11" s="442" customFormat="1" ht="15" customHeight="1">
      <c r="A299" s="479"/>
      <c r="B299" s="475"/>
      <c r="C299" s="480" t="s">
        <v>1426</v>
      </c>
      <c r="D299" s="477">
        <v>2</v>
      </c>
      <c r="E299" s="473" t="s">
        <v>1425</v>
      </c>
      <c r="F299" s="363"/>
      <c r="G299" s="365"/>
      <c r="H299" s="481"/>
      <c r="I299" s="342"/>
      <c r="J299" s="342">
        <f>D299*G299</f>
        <v>0</v>
      </c>
      <c r="K299" s="342"/>
    </row>
    <row r="300" spans="1:11" s="442" customFormat="1" ht="15" customHeight="1">
      <c r="A300" s="458"/>
      <c r="B300" s="458"/>
      <c r="C300" s="459" t="s">
        <v>1459</v>
      </c>
      <c r="D300" s="460"/>
      <c r="E300" s="461"/>
      <c r="F300" s="361"/>
      <c r="G300" s="361"/>
      <c r="H300" s="462">
        <f>SUM(F298:G299)</f>
        <v>0</v>
      </c>
      <c r="I300" s="340"/>
      <c r="J300" s="340"/>
      <c r="K300" s="340">
        <f>SUM(I298:J299)</f>
        <v>0</v>
      </c>
    </row>
    <row r="301" spans="1:11" s="455" customFormat="1" ht="15" customHeight="1">
      <c r="A301" s="450"/>
      <c r="B301" s="450"/>
      <c r="C301" s="482"/>
      <c r="D301" s="452"/>
      <c r="E301" s="453"/>
      <c r="F301" s="360"/>
      <c r="G301" s="360"/>
      <c r="H301" s="464"/>
      <c r="I301" s="339"/>
      <c r="J301" s="339"/>
      <c r="K301" s="339"/>
    </row>
    <row r="302" spans="1:11" s="442" customFormat="1" ht="15" customHeight="1">
      <c r="A302" s="447" t="s">
        <v>1508</v>
      </c>
      <c r="B302" s="448"/>
      <c r="C302" s="449"/>
      <c r="D302" s="448"/>
      <c r="E302" s="448"/>
      <c r="F302" s="358"/>
      <c r="G302" s="358"/>
      <c r="H302" s="448"/>
      <c r="I302" s="337"/>
      <c r="J302" s="337"/>
      <c r="K302" s="338"/>
    </row>
    <row r="303" spans="1:11" s="442" customFormat="1" ht="15" customHeight="1">
      <c r="A303" s="479" t="s">
        <v>1509</v>
      </c>
      <c r="B303" s="479"/>
      <c r="C303" s="480" t="s">
        <v>1510</v>
      </c>
      <c r="D303" s="477">
        <v>1</v>
      </c>
      <c r="E303" s="474" t="s">
        <v>149</v>
      </c>
      <c r="F303" s="363"/>
      <c r="G303" s="363"/>
      <c r="H303" s="489"/>
      <c r="I303" s="342">
        <f>PRODUCT(D303*F303)</f>
        <v>0</v>
      </c>
      <c r="J303" s="342"/>
      <c r="K303" s="342"/>
    </row>
    <row r="304" spans="1:11" s="442" customFormat="1" ht="39.95" customHeight="1">
      <c r="A304" s="479"/>
      <c r="B304" s="479"/>
      <c r="C304" s="488" t="s">
        <v>1490</v>
      </c>
      <c r="D304" s="477"/>
      <c r="E304" s="474"/>
      <c r="F304" s="369"/>
      <c r="G304" s="369"/>
      <c r="H304" s="489"/>
      <c r="I304" s="342"/>
      <c r="J304" s="342"/>
      <c r="K304" s="342"/>
    </row>
    <row r="305" spans="1:11" s="442" customFormat="1" ht="15" customHeight="1">
      <c r="A305" s="479"/>
      <c r="B305" s="465" t="s">
        <v>1491</v>
      </c>
      <c r="C305" s="480" t="s">
        <v>1492</v>
      </c>
      <c r="D305" s="477">
        <v>1</v>
      </c>
      <c r="E305" s="474" t="s">
        <v>149</v>
      </c>
      <c r="F305" s="364"/>
      <c r="G305" s="363"/>
      <c r="H305" s="478"/>
      <c r="I305" s="343"/>
      <c r="J305" s="342">
        <f>D305*G305</f>
        <v>0</v>
      </c>
      <c r="K305" s="344"/>
    </row>
    <row r="306" spans="1:11" s="442" customFormat="1" ht="15" customHeight="1">
      <c r="A306" s="458"/>
      <c r="B306" s="458"/>
      <c r="C306" s="459" t="s">
        <v>1493</v>
      </c>
      <c r="D306" s="460"/>
      <c r="E306" s="461"/>
      <c r="F306" s="361"/>
      <c r="G306" s="361"/>
      <c r="H306" s="462">
        <f>SUM(F303:G305)</f>
        <v>0</v>
      </c>
      <c r="I306" s="340"/>
      <c r="J306" s="340"/>
      <c r="K306" s="340">
        <f>SUM(I303:J305)</f>
        <v>0</v>
      </c>
    </row>
    <row r="307" spans="1:11" s="455" customFormat="1" ht="15" customHeight="1">
      <c r="A307" s="450"/>
      <c r="B307" s="450"/>
      <c r="C307" s="457"/>
      <c r="D307" s="452"/>
      <c r="E307" s="453"/>
      <c r="F307" s="360"/>
      <c r="G307" s="360"/>
      <c r="H307" s="454"/>
      <c r="I307" s="339"/>
      <c r="J307" s="339"/>
      <c r="K307" s="339"/>
    </row>
    <row r="308" spans="1:11" s="455" customFormat="1" ht="15" customHeight="1">
      <c r="A308" s="450" t="s">
        <v>1511</v>
      </c>
      <c r="B308" s="450"/>
      <c r="C308" s="457" t="s">
        <v>1441</v>
      </c>
      <c r="D308" s="452">
        <v>1</v>
      </c>
      <c r="E308" s="453" t="s">
        <v>149</v>
      </c>
      <c r="F308" s="359"/>
      <c r="G308" s="359"/>
      <c r="H308" s="454"/>
      <c r="I308" s="339">
        <f>D308*F308</f>
        <v>0</v>
      </c>
      <c r="J308" s="339"/>
      <c r="K308" s="339"/>
    </row>
    <row r="309" spans="1:11" s="455" customFormat="1" ht="15" customHeight="1">
      <c r="A309" s="450"/>
      <c r="B309" s="465" t="s">
        <v>1384</v>
      </c>
      <c r="C309" s="457" t="s">
        <v>1442</v>
      </c>
      <c r="D309" s="452">
        <v>1</v>
      </c>
      <c r="E309" s="453" t="s">
        <v>149</v>
      </c>
      <c r="F309" s="359"/>
      <c r="G309" s="359"/>
      <c r="H309" s="454"/>
      <c r="I309" s="339"/>
      <c r="J309" s="339">
        <f>D309*G309</f>
        <v>0</v>
      </c>
      <c r="K309" s="339"/>
    </row>
    <row r="310" spans="1:11" s="455" customFormat="1" ht="15" customHeight="1">
      <c r="A310" s="466"/>
      <c r="B310" s="466"/>
      <c r="C310" s="459" t="s">
        <v>1443</v>
      </c>
      <c r="D310" s="468"/>
      <c r="E310" s="469"/>
      <c r="F310" s="362"/>
      <c r="G310" s="362"/>
      <c r="H310" s="470">
        <f>SUM(F308:G309)</f>
        <v>0</v>
      </c>
      <c r="I310" s="341"/>
      <c r="J310" s="341"/>
      <c r="K310" s="341">
        <f>SUM(I308:J309)</f>
        <v>0</v>
      </c>
    </row>
    <row r="311" spans="1:11" s="455" customFormat="1" ht="15" customHeight="1">
      <c r="A311" s="450"/>
      <c r="B311" s="450"/>
      <c r="C311" s="457"/>
      <c r="D311" s="452"/>
      <c r="E311" s="453"/>
      <c r="F311" s="360"/>
      <c r="G311" s="360"/>
      <c r="H311" s="454"/>
      <c r="I311" s="339"/>
      <c r="J311" s="339"/>
      <c r="K311" s="339"/>
    </row>
    <row r="312" spans="1:11" s="455" customFormat="1" ht="15" customHeight="1">
      <c r="A312" s="450" t="s">
        <v>1512</v>
      </c>
      <c r="B312" s="450"/>
      <c r="C312" s="457" t="s">
        <v>1447</v>
      </c>
      <c r="D312" s="452">
        <v>4</v>
      </c>
      <c r="E312" s="453" t="s">
        <v>149</v>
      </c>
      <c r="F312" s="359"/>
      <c r="G312" s="359"/>
      <c r="H312" s="454"/>
      <c r="I312" s="339">
        <f>PRODUCT(D312*F312)</f>
        <v>0</v>
      </c>
      <c r="J312" s="339"/>
      <c r="K312" s="339"/>
    </row>
    <row r="313" spans="1:11" s="455" customFormat="1" ht="15" customHeight="1">
      <c r="A313" s="450" t="s">
        <v>1513</v>
      </c>
      <c r="B313" s="450"/>
      <c r="C313" s="457" t="s">
        <v>1449</v>
      </c>
      <c r="D313" s="452">
        <v>1</v>
      </c>
      <c r="E313" s="453" t="s">
        <v>149</v>
      </c>
      <c r="F313" s="359"/>
      <c r="G313" s="359"/>
      <c r="H313" s="454"/>
      <c r="I313" s="339">
        <f>PRODUCT(D313*F313)</f>
        <v>0</v>
      </c>
      <c r="J313" s="339"/>
      <c r="K313" s="339"/>
    </row>
    <row r="314" spans="1:11" s="455" customFormat="1" ht="15" customHeight="1">
      <c r="A314" s="450"/>
      <c r="B314" s="450" t="s">
        <v>1394</v>
      </c>
      <c r="C314" s="457" t="s">
        <v>1450</v>
      </c>
      <c r="D314" s="452">
        <f>SUM(D312:D313)</f>
        <v>5</v>
      </c>
      <c r="E314" s="453" t="s">
        <v>149</v>
      </c>
      <c r="F314" s="359"/>
      <c r="G314" s="359"/>
      <c r="H314" s="454"/>
      <c r="I314" s="339"/>
      <c r="J314" s="339">
        <f>PRODUCT(D314*G314)</f>
        <v>0</v>
      </c>
      <c r="K314" s="339"/>
    </row>
    <row r="315" spans="1:11" s="442" customFormat="1" ht="15" customHeight="1">
      <c r="A315" s="458"/>
      <c r="B315" s="458"/>
      <c r="C315" s="459" t="s">
        <v>1497</v>
      </c>
      <c r="D315" s="460"/>
      <c r="E315" s="461"/>
      <c r="F315" s="361"/>
      <c r="G315" s="361"/>
      <c r="H315" s="462">
        <f>SUM(F312:G314)</f>
        <v>0</v>
      </c>
      <c r="I315" s="340"/>
      <c r="J315" s="340"/>
      <c r="K315" s="340">
        <f>SUM(I312:J314)</f>
        <v>0</v>
      </c>
    </row>
    <row r="316" spans="1:11" s="455" customFormat="1" ht="15" customHeight="1">
      <c r="A316" s="450"/>
      <c r="B316" s="450"/>
      <c r="C316" s="457"/>
      <c r="D316" s="452"/>
      <c r="E316" s="453"/>
      <c r="F316" s="360"/>
      <c r="G316" s="360"/>
      <c r="H316" s="454"/>
      <c r="I316" s="339"/>
      <c r="J316" s="339"/>
      <c r="K316" s="339"/>
    </row>
    <row r="317" spans="1:11" s="442" customFormat="1" ht="15" customHeight="1">
      <c r="A317" s="479"/>
      <c r="B317" s="479"/>
      <c r="C317" s="476" t="s">
        <v>1498</v>
      </c>
      <c r="D317" s="477">
        <v>6</v>
      </c>
      <c r="E317" s="473" t="s">
        <v>70</v>
      </c>
      <c r="F317" s="363"/>
      <c r="G317" s="363"/>
      <c r="H317" s="490"/>
      <c r="I317" s="342">
        <f>PRODUCT(D317*F317)</f>
        <v>0</v>
      </c>
      <c r="J317" s="342"/>
      <c r="K317" s="342"/>
    </row>
    <row r="318" spans="1:11" s="442" customFormat="1" ht="15" customHeight="1">
      <c r="A318" s="479"/>
      <c r="B318" s="479"/>
      <c r="C318" s="476" t="s">
        <v>1499</v>
      </c>
      <c r="D318" s="477">
        <v>2</v>
      </c>
      <c r="E318" s="473" t="s">
        <v>70</v>
      </c>
      <c r="F318" s="363"/>
      <c r="G318" s="363"/>
      <c r="H318" s="490"/>
      <c r="I318" s="342">
        <f>PRODUCT(D318*F318)</f>
        <v>0</v>
      </c>
      <c r="J318" s="342"/>
      <c r="K318" s="342"/>
    </row>
    <row r="319" spans="1:11" s="442" customFormat="1" ht="39.95" customHeight="1">
      <c r="A319" s="487"/>
      <c r="B319" s="479"/>
      <c r="C319" s="488" t="s">
        <v>1476</v>
      </c>
      <c r="D319" s="477"/>
      <c r="E319" s="474"/>
      <c r="F319" s="369"/>
      <c r="G319" s="369"/>
      <c r="H319" s="489"/>
      <c r="I319" s="342"/>
      <c r="J319" s="342"/>
      <c r="K319" s="342"/>
    </row>
    <row r="320" spans="1:11" s="442" customFormat="1" ht="15" customHeight="1">
      <c r="A320" s="479"/>
      <c r="B320" s="473" t="s">
        <v>1477</v>
      </c>
      <c r="C320" s="476" t="s">
        <v>1478</v>
      </c>
      <c r="D320" s="477">
        <f>SUM(D317:D319)</f>
        <v>8</v>
      </c>
      <c r="E320" s="473" t="s">
        <v>70</v>
      </c>
      <c r="F320" s="363"/>
      <c r="G320" s="363"/>
      <c r="H320" s="490"/>
      <c r="I320" s="342"/>
      <c r="J320" s="342">
        <f>PRODUCT(D320*G320)</f>
        <v>0</v>
      </c>
      <c r="K320" s="342"/>
    </row>
    <row r="321" spans="1:11" s="442" customFormat="1" ht="15" customHeight="1">
      <c r="A321" s="458"/>
      <c r="B321" s="458"/>
      <c r="C321" s="459" t="s">
        <v>1479</v>
      </c>
      <c r="D321" s="460"/>
      <c r="E321" s="461"/>
      <c r="F321" s="361"/>
      <c r="G321" s="361"/>
      <c r="H321" s="462">
        <f>SUM(F317:G320)</f>
        <v>0</v>
      </c>
      <c r="I321" s="340"/>
      <c r="J321" s="340"/>
      <c r="K321" s="340">
        <f>SUM(I317:J320)</f>
        <v>0</v>
      </c>
    </row>
    <row r="322" spans="1:11" s="455" customFormat="1" ht="15" customHeight="1">
      <c r="A322" s="450"/>
      <c r="B322" s="450"/>
      <c r="C322" s="457"/>
      <c r="D322" s="452"/>
      <c r="E322" s="453"/>
      <c r="F322" s="360"/>
      <c r="G322" s="360"/>
      <c r="H322" s="454"/>
      <c r="I322" s="339"/>
      <c r="J322" s="339"/>
      <c r="K322" s="339"/>
    </row>
    <row r="323" spans="1:11" s="442" customFormat="1" ht="15" customHeight="1">
      <c r="A323" s="479"/>
      <c r="B323" s="479"/>
      <c r="C323" s="476" t="s">
        <v>1500</v>
      </c>
      <c r="D323" s="477">
        <v>5</v>
      </c>
      <c r="E323" s="473" t="s">
        <v>70</v>
      </c>
      <c r="F323" s="363"/>
      <c r="G323" s="363"/>
      <c r="H323" s="490"/>
      <c r="I323" s="342">
        <f>PRODUCT(D323*F323)</f>
        <v>0</v>
      </c>
      <c r="J323" s="342"/>
      <c r="K323" s="342"/>
    </row>
    <row r="324" spans="1:11" s="442" customFormat="1" ht="15" customHeight="1">
      <c r="A324" s="479"/>
      <c r="B324" s="479"/>
      <c r="C324" s="476" t="s">
        <v>1501</v>
      </c>
      <c r="D324" s="477">
        <v>3</v>
      </c>
      <c r="E324" s="473" t="s">
        <v>70</v>
      </c>
      <c r="F324" s="363"/>
      <c r="G324" s="363"/>
      <c r="H324" s="490"/>
      <c r="I324" s="342">
        <f>PRODUCT(D324*F324)</f>
        <v>0</v>
      </c>
      <c r="J324" s="342"/>
      <c r="K324" s="342"/>
    </row>
    <row r="325" spans="1:11" s="442" customFormat="1" ht="15" customHeight="1">
      <c r="A325" s="479"/>
      <c r="B325" s="479"/>
      <c r="C325" s="476" t="s">
        <v>1456</v>
      </c>
      <c r="D325" s="477">
        <v>5</v>
      </c>
      <c r="E325" s="473" t="s">
        <v>70</v>
      </c>
      <c r="F325" s="363"/>
      <c r="G325" s="363"/>
      <c r="H325" s="490"/>
      <c r="I325" s="342">
        <f>PRODUCT(D325*F325)</f>
        <v>0</v>
      </c>
      <c r="J325" s="342"/>
      <c r="K325" s="342"/>
    </row>
    <row r="326" spans="1:11" s="442" customFormat="1" ht="15" customHeight="1">
      <c r="A326" s="479"/>
      <c r="B326" s="473" t="s">
        <v>1413</v>
      </c>
      <c r="C326" s="476" t="s">
        <v>1414</v>
      </c>
      <c r="D326" s="477">
        <f>SUM(D323:D325)</f>
        <v>13</v>
      </c>
      <c r="E326" s="473" t="s">
        <v>70</v>
      </c>
      <c r="F326" s="363"/>
      <c r="G326" s="363"/>
      <c r="H326" s="490"/>
      <c r="I326" s="342"/>
      <c r="J326" s="342">
        <f>PRODUCT(D326*G326)</f>
        <v>0</v>
      </c>
      <c r="K326" s="342"/>
    </row>
    <row r="327" spans="1:11" s="442" customFormat="1" ht="15" customHeight="1">
      <c r="A327" s="458"/>
      <c r="B327" s="458"/>
      <c r="C327" s="459" t="s">
        <v>1479</v>
      </c>
      <c r="D327" s="460"/>
      <c r="E327" s="461"/>
      <c r="F327" s="361"/>
      <c r="G327" s="361"/>
      <c r="H327" s="462">
        <f>SUM(F323:G326)</f>
        <v>0</v>
      </c>
      <c r="I327" s="340"/>
      <c r="J327" s="340"/>
      <c r="K327" s="340">
        <f>SUM(I323:J326)</f>
        <v>0</v>
      </c>
    </row>
    <row r="328" spans="1:11" s="442" customFormat="1" ht="15" customHeight="1">
      <c r="A328" s="479"/>
      <c r="B328" s="479"/>
      <c r="C328" s="476"/>
      <c r="D328" s="477"/>
      <c r="E328" s="474"/>
      <c r="F328" s="369"/>
      <c r="G328" s="369"/>
      <c r="H328" s="489"/>
      <c r="I328" s="342"/>
      <c r="J328" s="342"/>
      <c r="K328" s="342"/>
    </row>
    <row r="329" spans="1:11" s="442" customFormat="1" ht="15" customHeight="1">
      <c r="A329" s="474"/>
      <c r="B329" s="475"/>
      <c r="C329" s="476" t="s">
        <v>1458</v>
      </c>
      <c r="D329" s="477">
        <v>2</v>
      </c>
      <c r="E329" s="473" t="s">
        <v>1425</v>
      </c>
      <c r="F329" s="363"/>
      <c r="G329" s="364"/>
      <c r="H329" s="478"/>
      <c r="I329" s="342">
        <f>D329*F329</f>
        <v>0</v>
      </c>
      <c r="J329" s="343"/>
      <c r="K329" s="344"/>
    </row>
    <row r="330" spans="1:11" s="442" customFormat="1" ht="15" customHeight="1">
      <c r="A330" s="479"/>
      <c r="B330" s="475"/>
      <c r="C330" s="480" t="s">
        <v>1426</v>
      </c>
      <c r="D330" s="477">
        <v>2</v>
      </c>
      <c r="E330" s="473" t="s">
        <v>1425</v>
      </c>
      <c r="F330" s="363"/>
      <c r="G330" s="365"/>
      <c r="H330" s="481"/>
      <c r="I330" s="342"/>
      <c r="J330" s="342">
        <f>D330*G330</f>
        <v>0</v>
      </c>
      <c r="K330" s="342"/>
    </row>
    <row r="331" spans="1:11" s="442" customFormat="1" ht="13.5">
      <c r="A331" s="458"/>
      <c r="B331" s="458"/>
      <c r="C331" s="459" t="s">
        <v>1459</v>
      </c>
      <c r="D331" s="460"/>
      <c r="E331" s="461"/>
      <c r="F331" s="361"/>
      <c r="G331" s="361"/>
      <c r="H331" s="462">
        <f>SUM(F329:G330)</f>
        <v>0</v>
      </c>
      <c r="I331" s="340"/>
      <c r="J331" s="340"/>
      <c r="K331" s="340">
        <f>SUM(I329:J330)</f>
        <v>0</v>
      </c>
    </row>
    <row r="332" spans="1:11" s="455" customFormat="1" ht="15" customHeight="1">
      <c r="A332" s="450"/>
      <c r="B332" s="450"/>
      <c r="C332" s="482"/>
      <c r="D332" s="452"/>
      <c r="E332" s="453"/>
      <c r="F332" s="360"/>
      <c r="G332" s="360"/>
      <c r="H332" s="464"/>
      <c r="I332" s="339"/>
      <c r="J332" s="339"/>
      <c r="K332" s="339"/>
    </row>
    <row r="333" spans="1:11" s="442" customFormat="1" ht="15" customHeight="1">
      <c r="A333" s="447" t="s">
        <v>1514</v>
      </c>
      <c r="B333" s="448"/>
      <c r="C333" s="449"/>
      <c r="D333" s="448"/>
      <c r="E333" s="448"/>
      <c r="F333" s="358"/>
      <c r="G333" s="358"/>
      <c r="H333" s="448"/>
      <c r="I333" s="337"/>
      <c r="J333" s="337"/>
      <c r="K333" s="338"/>
    </row>
    <row r="334" spans="1:11" s="442" customFormat="1" ht="15" customHeight="1">
      <c r="A334" s="479" t="s">
        <v>1515</v>
      </c>
      <c r="B334" s="479"/>
      <c r="C334" s="480" t="s">
        <v>1516</v>
      </c>
      <c r="D334" s="477">
        <v>1</v>
      </c>
      <c r="E334" s="474" t="s">
        <v>149</v>
      </c>
      <c r="F334" s="363"/>
      <c r="G334" s="363"/>
      <c r="H334" s="489"/>
      <c r="I334" s="342">
        <f>PRODUCT(D334*F334)</f>
        <v>0</v>
      </c>
      <c r="J334" s="342"/>
      <c r="K334" s="342"/>
    </row>
    <row r="335" spans="1:11" s="442" customFormat="1" ht="24.95" customHeight="1">
      <c r="A335" s="479"/>
      <c r="B335" s="479"/>
      <c r="C335" s="488" t="s">
        <v>1517</v>
      </c>
      <c r="D335" s="477"/>
      <c r="E335" s="474"/>
      <c r="F335" s="369"/>
      <c r="G335" s="369"/>
      <c r="H335" s="489"/>
      <c r="I335" s="342"/>
      <c r="J335" s="342"/>
      <c r="K335" s="342"/>
    </row>
    <row r="336" spans="1:11" s="442" customFormat="1" ht="15" customHeight="1">
      <c r="A336" s="479"/>
      <c r="B336" s="465" t="s">
        <v>1491</v>
      </c>
      <c r="C336" s="480" t="s">
        <v>1492</v>
      </c>
      <c r="D336" s="477">
        <v>1</v>
      </c>
      <c r="E336" s="474" t="s">
        <v>149</v>
      </c>
      <c r="F336" s="364"/>
      <c r="G336" s="363"/>
      <c r="H336" s="478"/>
      <c r="I336" s="343"/>
      <c r="J336" s="342">
        <f>D336*G336</f>
        <v>0</v>
      </c>
      <c r="K336" s="344"/>
    </row>
    <row r="337" spans="1:11" s="442" customFormat="1" ht="15" customHeight="1">
      <c r="A337" s="458"/>
      <c r="B337" s="458"/>
      <c r="C337" s="459" t="s">
        <v>1518</v>
      </c>
      <c r="D337" s="460"/>
      <c r="E337" s="461"/>
      <c r="F337" s="361"/>
      <c r="G337" s="361"/>
      <c r="H337" s="462">
        <f>SUM(F334:G336)</f>
        <v>0</v>
      </c>
      <c r="I337" s="340"/>
      <c r="J337" s="340"/>
      <c r="K337" s="340">
        <f>SUM(I334:J336)</f>
        <v>0</v>
      </c>
    </row>
    <row r="338" spans="1:11" s="455" customFormat="1" ht="15" customHeight="1">
      <c r="A338" s="450"/>
      <c r="B338" s="450"/>
      <c r="C338" s="457"/>
      <c r="D338" s="452"/>
      <c r="E338" s="453"/>
      <c r="F338" s="360"/>
      <c r="G338" s="360"/>
      <c r="H338" s="454"/>
      <c r="I338" s="339"/>
      <c r="J338" s="339"/>
      <c r="K338" s="339"/>
    </row>
    <row r="339" spans="1:11" s="455" customFormat="1" ht="15" customHeight="1">
      <c r="A339" s="450" t="s">
        <v>1519</v>
      </c>
      <c r="B339" s="450"/>
      <c r="C339" s="457" t="s">
        <v>1520</v>
      </c>
      <c r="D339" s="452">
        <v>1</v>
      </c>
      <c r="E339" s="453" t="s">
        <v>149</v>
      </c>
      <c r="F339" s="359"/>
      <c r="G339" s="359"/>
      <c r="H339" s="454"/>
      <c r="I339" s="339">
        <f>D339*F339</f>
        <v>0</v>
      </c>
      <c r="J339" s="339"/>
      <c r="K339" s="339"/>
    </row>
    <row r="340" spans="1:11" s="455" customFormat="1" ht="15" customHeight="1">
      <c r="A340" s="450"/>
      <c r="B340" s="465" t="s">
        <v>1384</v>
      </c>
      <c r="C340" s="457" t="s">
        <v>1453</v>
      </c>
      <c r="D340" s="452">
        <v>1</v>
      </c>
      <c r="E340" s="453" t="s">
        <v>149</v>
      </c>
      <c r="F340" s="359"/>
      <c r="G340" s="359"/>
      <c r="H340" s="454"/>
      <c r="I340" s="339"/>
      <c r="J340" s="339">
        <f>D340*G340</f>
        <v>0</v>
      </c>
      <c r="K340" s="339"/>
    </row>
    <row r="341" spans="1:11" s="455" customFormat="1" ht="15" customHeight="1">
      <c r="A341" s="466"/>
      <c r="B341" s="466"/>
      <c r="C341" s="459" t="s">
        <v>1521</v>
      </c>
      <c r="D341" s="468"/>
      <c r="E341" s="469"/>
      <c r="F341" s="362"/>
      <c r="G341" s="362"/>
      <c r="H341" s="470">
        <f>SUM(F339:G340)</f>
        <v>0</v>
      </c>
      <c r="I341" s="341"/>
      <c r="J341" s="341"/>
      <c r="K341" s="341">
        <f>SUM(I339:J340)</f>
        <v>0</v>
      </c>
    </row>
    <row r="342" spans="1:11" s="455" customFormat="1" ht="15" customHeight="1">
      <c r="A342" s="450"/>
      <c r="B342" s="450"/>
      <c r="C342" s="457"/>
      <c r="D342" s="452"/>
      <c r="E342" s="453"/>
      <c r="F342" s="360"/>
      <c r="G342" s="360"/>
      <c r="H342" s="454"/>
      <c r="I342" s="339"/>
      <c r="J342" s="339"/>
      <c r="K342" s="339"/>
    </row>
    <row r="343" spans="1:11" s="442" customFormat="1" ht="15" customHeight="1">
      <c r="A343" s="479"/>
      <c r="B343" s="479"/>
      <c r="C343" s="476" t="s">
        <v>1522</v>
      </c>
      <c r="D343" s="477">
        <v>1</v>
      </c>
      <c r="E343" s="473" t="s">
        <v>70</v>
      </c>
      <c r="F343" s="363"/>
      <c r="G343" s="363"/>
      <c r="H343" s="490"/>
      <c r="I343" s="342">
        <f>PRODUCT(D343*F343)</f>
        <v>0</v>
      </c>
      <c r="J343" s="342"/>
      <c r="K343" s="342"/>
    </row>
    <row r="344" spans="1:11" s="442" customFormat="1" ht="15" customHeight="1">
      <c r="A344" s="479"/>
      <c r="B344" s="473" t="s">
        <v>1413</v>
      </c>
      <c r="C344" s="476" t="s">
        <v>1414</v>
      </c>
      <c r="D344" s="477">
        <v>1</v>
      </c>
      <c r="E344" s="473" t="s">
        <v>70</v>
      </c>
      <c r="F344" s="363"/>
      <c r="G344" s="363"/>
      <c r="H344" s="490"/>
      <c r="I344" s="342"/>
      <c r="J344" s="342">
        <f>PRODUCT(D344*G344)</f>
        <v>0</v>
      </c>
      <c r="K344" s="342"/>
    </row>
    <row r="345" spans="1:11" s="442" customFormat="1" ht="15" customHeight="1">
      <c r="A345" s="458"/>
      <c r="B345" s="458"/>
      <c r="C345" s="459" t="s">
        <v>1523</v>
      </c>
      <c r="D345" s="460"/>
      <c r="E345" s="461"/>
      <c r="F345" s="361"/>
      <c r="G345" s="361"/>
      <c r="H345" s="462">
        <f>SUM(F343:G344)</f>
        <v>0</v>
      </c>
      <c r="I345" s="340"/>
      <c r="J345" s="340"/>
      <c r="K345" s="340">
        <f>SUM(I343:J344)</f>
        <v>0</v>
      </c>
    </row>
    <row r="346" spans="1:11" s="442" customFormat="1" ht="15" customHeight="1">
      <c r="A346" s="479"/>
      <c r="B346" s="479"/>
      <c r="C346" s="476"/>
      <c r="D346" s="477"/>
      <c r="E346" s="474"/>
      <c r="F346" s="369"/>
      <c r="G346" s="369"/>
      <c r="H346" s="489"/>
      <c r="I346" s="342"/>
      <c r="J346" s="342"/>
      <c r="K346" s="342"/>
    </row>
    <row r="347" spans="1:11" s="442" customFormat="1" ht="15" customHeight="1">
      <c r="A347" s="474"/>
      <c r="B347" s="475"/>
      <c r="C347" s="476" t="s">
        <v>1458</v>
      </c>
      <c r="D347" s="477">
        <v>1</v>
      </c>
      <c r="E347" s="473" t="s">
        <v>1425</v>
      </c>
      <c r="F347" s="363"/>
      <c r="G347" s="364"/>
      <c r="H347" s="478"/>
      <c r="I347" s="342">
        <f>D347*F347</f>
        <v>0</v>
      </c>
      <c r="J347" s="343"/>
      <c r="K347" s="344"/>
    </row>
    <row r="348" spans="1:11" s="442" customFormat="1" ht="15" customHeight="1">
      <c r="A348" s="479"/>
      <c r="B348" s="475"/>
      <c r="C348" s="480" t="s">
        <v>1426</v>
      </c>
      <c r="D348" s="477">
        <v>1</v>
      </c>
      <c r="E348" s="473" t="s">
        <v>1425</v>
      </c>
      <c r="F348" s="363"/>
      <c r="G348" s="365"/>
      <c r="H348" s="481"/>
      <c r="I348" s="342"/>
      <c r="J348" s="342">
        <f>D348*G348</f>
        <v>0</v>
      </c>
      <c r="K348" s="342"/>
    </row>
    <row r="349" spans="1:11" s="442" customFormat="1" ht="15" customHeight="1">
      <c r="A349" s="458"/>
      <c r="B349" s="458"/>
      <c r="C349" s="459" t="s">
        <v>1524</v>
      </c>
      <c r="D349" s="460"/>
      <c r="E349" s="461"/>
      <c r="F349" s="361"/>
      <c r="G349" s="361"/>
      <c r="H349" s="462">
        <f>SUM(F347:G348)</f>
        <v>0</v>
      </c>
      <c r="I349" s="340"/>
      <c r="J349" s="340"/>
      <c r="K349" s="340">
        <f>SUM(I347:J348)</f>
        <v>0</v>
      </c>
    </row>
    <row r="350" spans="1:11" s="455" customFormat="1" ht="15" customHeight="1">
      <c r="A350" s="450"/>
      <c r="B350" s="450"/>
      <c r="C350" s="482"/>
      <c r="D350" s="452"/>
      <c r="E350" s="453"/>
      <c r="F350" s="360"/>
      <c r="G350" s="360"/>
      <c r="H350" s="464"/>
      <c r="I350" s="339"/>
      <c r="J350" s="339"/>
      <c r="K350" s="339"/>
    </row>
    <row r="351" spans="1:11" s="442" customFormat="1" ht="15" customHeight="1">
      <c r="A351" s="447" t="s">
        <v>1525</v>
      </c>
      <c r="B351" s="448"/>
      <c r="C351" s="449"/>
      <c r="D351" s="448"/>
      <c r="E351" s="448"/>
      <c r="F351" s="358"/>
      <c r="G351" s="358"/>
      <c r="H351" s="448"/>
      <c r="I351" s="337"/>
      <c r="J351" s="337"/>
      <c r="K351" s="338"/>
    </row>
    <row r="352" spans="1:11" s="442" customFormat="1" ht="15" customHeight="1">
      <c r="A352" s="479" t="s">
        <v>1526</v>
      </c>
      <c r="B352" s="479"/>
      <c r="C352" s="480" t="s">
        <v>1516</v>
      </c>
      <c r="D352" s="477">
        <v>1</v>
      </c>
      <c r="E352" s="474" t="s">
        <v>149</v>
      </c>
      <c r="F352" s="363"/>
      <c r="G352" s="363"/>
      <c r="H352" s="489"/>
      <c r="I352" s="342">
        <f>PRODUCT(D352*F352)</f>
        <v>0</v>
      </c>
      <c r="J352" s="342"/>
      <c r="K352" s="342"/>
    </row>
    <row r="353" spans="1:11" s="442" customFormat="1" ht="24.95" customHeight="1">
      <c r="A353" s="479"/>
      <c r="B353" s="479"/>
      <c r="C353" s="488" t="s">
        <v>1517</v>
      </c>
      <c r="D353" s="477"/>
      <c r="E353" s="474"/>
      <c r="F353" s="369"/>
      <c r="G353" s="369"/>
      <c r="H353" s="489"/>
      <c r="I353" s="342"/>
      <c r="J353" s="342"/>
      <c r="K353" s="342"/>
    </row>
    <row r="354" spans="1:11" s="442" customFormat="1" ht="15" customHeight="1">
      <c r="A354" s="479"/>
      <c r="B354" s="465" t="s">
        <v>1491</v>
      </c>
      <c r="C354" s="480" t="s">
        <v>1492</v>
      </c>
      <c r="D354" s="477">
        <v>1</v>
      </c>
      <c r="E354" s="474" t="s">
        <v>149</v>
      </c>
      <c r="F354" s="364"/>
      <c r="G354" s="363"/>
      <c r="H354" s="478"/>
      <c r="I354" s="343"/>
      <c r="J354" s="342">
        <f>D354*G354</f>
        <v>0</v>
      </c>
      <c r="K354" s="344"/>
    </row>
    <row r="355" spans="1:11" s="442" customFormat="1" ht="15" customHeight="1">
      <c r="A355" s="458"/>
      <c r="B355" s="458"/>
      <c r="C355" s="459" t="s">
        <v>1527</v>
      </c>
      <c r="D355" s="460"/>
      <c r="E355" s="461"/>
      <c r="F355" s="361"/>
      <c r="G355" s="361"/>
      <c r="H355" s="462">
        <f>SUM(F352:G354)</f>
        <v>0</v>
      </c>
      <c r="I355" s="340"/>
      <c r="J355" s="340"/>
      <c r="K355" s="340">
        <f>SUM(I352:J354)</f>
        <v>0</v>
      </c>
    </row>
    <row r="356" spans="1:11" s="455" customFormat="1" ht="15" customHeight="1">
      <c r="A356" s="450"/>
      <c r="B356" s="450"/>
      <c r="C356" s="457"/>
      <c r="D356" s="452"/>
      <c r="E356" s="453"/>
      <c r="F356" s="360"/>
      <c r="G356" s="360"/>
      <c r="H356" s="454"/>
      <c r="I356" s="339"/>
      <c r="J356" s="339"/>
      <c r="K356" s="339"/>
    </row>
    <row r="357" spans="1:11" s="455" customFormat="1" ht="15" customHeight="1">
      <c r="A357" s="450" t="s">
        <v>1528</v>
      </c>
      <c r="B357" s="450"/>
      <c r="C357" s="457" t="s">
        <v>1520</v>
      </c>
      <c r="D357" s="452">
        <v>1</v>
      </c>
      <c r="E357" s="453" t="s">
        <v>149</v>
      </c>
      <c r="F357" s="359"/>
      <c r="G357" s="359"/>
      <c r="H357" s="454"/>
      <c r="I357" s="339">
        <f>D357*F357</f>
        <v>0</v>
      </c>
      <c r="J357" s="339"/>
      <c r="K357" s="339"/>
    </row>
    <row r="358" spans="1:11" s="455" customFormat="1" ht="15" customHeight="1">
      <c r="A358" s="450"/>
      <c r="B358" s="465" t="s">
        <v>1384</v>
      </c>
      <c r="C358" s="457" t="s">
        <v>1453</v>
      </c>
      <c r="D358" s="452">
        <v>1</v>
      </c>
      <c r="E358" s="453" t="s">
        <v>149</v>
      </c>
      <c r="F358" s="359"/>
      <c r="G358" s="359"/>
      <c r="H358" s="454"/>
      <c r="I358" s="339"/>
      <c r="J358" s="339">
        <f>D358*G358</f>
        <v>0</v>
      </c>
      <c r="K358" s="339"/>
    </row>
    <row r="359" spans="1:11" s="455" customFormat="1" ht="15" customHeight="1">
      <c r="A359" s="466"/>
      <c r="B359" s="466"/>
      <c r="C359" s="459" t="s">
        <v>1443</v>
      </c>
      <c r="D359" s="468"/>
      <c r="E359" s="469"/>
      <c r="F359" s="362"/>
      <c r="G359" s="362"/>
      <c r="H359" s="470">
        <f>SUM(F357:G358)</f>
        <v>0</v>
      </c>
      <c r="I359" s="341"/>
      <c r="J359" s="341"/>
      <c r="K359" s="341">
        <f>SUM(I357:J358)</f>
        <v>0</v>
      </c>
    </row>
    <row r="360" spans="1:11" s="455" customFormat="1" ht="15" customHeight="1">
      <c r="A360" s="450"/>
      <c r="B360" s="450"/>
      <c r="C360" s="457"/>
      <c r="D360" s="452"/>
      <c r="E360" s="453"/>
      <c r="F360" s="360"/>
      <c r="G360" s="360"/>
      <c r="H360" s="454"/>
      <c r="I360" s="339"/>
      <c r="J360" s="339"/>
      <c r="K360" s="339"/>
    </row>
    <row r="361" spans="1:11" s="442" customFormat="1" ht="15" customHeight="1">
      <c r="A361" s="479"/>
      <c r="B361" s="479"/>
      <c r="C361" s="476" t="s">
        <v>1522</v>
      </c>
      <c r="D361" s="477">
        <v>2</v>
      </c>
      <c r="E361" s="473" t="s">
        <v>70</v>
      </c>
      <c r="F361" s="363"/>
      <c r="G361" s="363"/>
      <c r="H361" s="490"/>
      <c r="I361" s="342">
        <f>PRODUCT(D361*F361)</f>
        <v>0</v>
      </c>
      <c r="J361" s="342"/>
      <c r="K361" s="342"/>
    </row>
    <row r="362" spans="1:11" s="442" customFormat="1" ht="15" customHeight="1">
      <c r="A362" s="479"/>
      <c r="B362" s="473" t="s">
        <v>1413</v>
      </c>
      <c r="C362" s="476" t="s">
        <v>1414</v>
      </c>
      <c r="D362" s="477">
        <v>2</v>
      </c>
      <c r="E362" s="473" t="s">
        <v>70</v>
      </c>
      <c r="F362" s="363"/>
      <c r="G362" s="363"/>
      <c r="H362" s="490"/>
      <c r="I362" s="342"/>
      <c r="J362" s="342">
        <f>PRODUCT(D362*G362)</f>
        <v>0</v>
      </c>
      <c r="K362" s="342"/>
    </row>
    <row r="363" spans="1:11" s="442" customFormat="1" ht="15" customHeight="1">
      <c r="A363" s="458"/>
      <c r="B363" s="458"/>
      <c r="C363" s="459" t="s">
        <v>1479</v>
      </c>
      <c r="D363" s="460"/>
      <c r="E363" s="461"/>
      <c r="F363" s="361"/>
      <c r="G363" s="361"/>
      <c r="H363" s="462">
        <f>SUM(F361:G362)</f>
        <v>0</v>
      </c>
      <c r="I363" s="340"/>
      <c r="J363" s="340"/>
      <c r="K363" s="340">
        <f>SUM(I361:J362)</f>
        <v>0</v>
      </c>
    </row>
    <row r="364" spans="1:11" s="442" customFormat="1" ht="15" customHeight="1">
      <c r="A364" s="479"/>
      <c r="B364" s="479"/>
      <c r="C364" s="476"/>
      <c r="D364" s="477"/>
      <c r="E364" s="474"/>
      <c r="F364" s="369"/>
      <c r="G364" s="369"/>
      <c r="H364" s="489"/>
      <c r="I364" s="342"/>
      <c r="J364" s="342"/>
      <c r="K364" s="342"/>
    </row>
    <row r="365" spans="1:11" s="442" customFormat="1" ht="15" customHeight="1">
      <c r="A365" s="474"/>
      <c r="B365" s="475"/>
      <c r="C365" s="476" t="s">
        <v>1458</v>
      </c>
      <c r="D365" s="477">
        <v>2</v>
      </c>
      <c r="E365" s="473" t="s">
        <v>1425</v>
      </c>
      <c r="F365" s="363"/>
      <c r="G365" s="364"/>
      <c r="H365" s="478"/>
      <c r="I365" s="342">
        <f>D365*F365</f>
        <v>0</v>
      </c>
      <c r="J365" s="343"/>
      <c r="K365" s="344"/>
    </row>
    <row r="366" spans="1:11" s="442" customFormat="1" ht="15" customHeight="1">
      <c r="A366" s="479"/>
      <c r="B366" s="475"/>
      <c r="C366" s="480" t="s">
        <v>1426</v>
      </c>
      <c r="D366" s="477">
        <v>2</v>
      </c>
      <c r="E366" s="473" t="s">
        <v>1425</v>
      </c>
      <c r="F366" s="363"/>
      <c r="G366" s="365"/>
      <c r="H366" s="481"/>
      <c r="I366" s="342"/>
      <c r="J366" s="342">
        <f>D366*G366</f>
        <v>0</v>
      </c>
      <c r="K366" s="342"/>
    </row>
    <row r="367" spans="1:11" s="442" customFormat="1" ht="15" customHeight="1">
      <c r="A367" s="458"/>
      <c r="B367" s="458"/>
      <c r="C367" s="459" t="s">
        <v>1459</v>
      </c>
      <c r="D367" s="460"/>
      <c r="E367" s="461"/>
      <c r="F367" s="361"/>
      <c r="G367" s="361"/>
      <c r="H367" s="462">
        <f>SUM(F365:G366)</f>
        <v>0</v>
      </c>
      <c r="I367" s="340"/>
      <c r="J367" s="340"/>
      <c r="K367" s="340">
        <f>SUM(I365:J366)</f>
        <v>0</v>
      </c>
    </row>
    <row r="368" spans="1:11" s="455" customFormat="1" ht="15" customHeight="1">
      <c r="A368" s="450"/>
      <c r="B368" s="450"/>
      <c r="C368" s="482"/>
      <c r="D368" s="452"/>
      <c r="E368" s="453"/>
      <c r="F368" s="360"/>
      <c r="G368" s="360"/>
      <c r="H368" s="464"/>
      <c r="I368" s="339"/>
      <c r="J368" s="339"/>
      <c r="K368" s="339"/>
    </row>
    <row r="369" spans="1:13" s="442" customFormat="1" ht="15" customHeight="1">
      <c r="A369" s="447" t="s">
        <v>1529</v>
      </c>
      <c r="B369" s="448"/>
      <c r="C369" s="449"/>
      <c r="D369" s="448"/>
      <c r="E369" s="448"/>
      <c r="F369" s="358"/>
      <c r="G369" s="358"/>
      <c r="H369" s="448"/>
      <c r="I369" s="337"/>
      <c r="J369" s="337"/>
      <c r="K369" s="338"/>
      <c r="L369" s="455"/>
      <c r="M369" s="455"/>
    </row>
    <row r="370" spans="1:13" s="442" customFormat="1" ht="15" customHeight="1">
      <c r="A370" s="487"/>
      <c r="B370" s="491"/>
      <c r="C370" s="492" t="s">
        <v>1530</v>
      </c>
      <c r="D370" s="493">
        <v>200</v>
      </c>
      <c r="E370" s="494" t="s">
        <v>420</v>
      </c>
      <c r="F370" s="370"/>
      <c r="G370" s="363"/>
      <c r="H370" s="495">
        <f>F370+G370</f>
        <v>0</v>
      </c>
      <c r="I370" s="346">
        <f>D370*F370</f>
        <v>0</v>
      </c>
      <c r="J370" s="346">
        <f aca="true" t="shared" si="0" ref="J370:J377">D370*G370</f>
        <v>0</v>
      </c>
      <c r="K370" s="346">
        <f aca="true" t="shared" si="1" ref="K370:K377">SUM(I370:J370)</f>
        <v>0</v>
      </c>
      <c r="L370" s="455"/>
      <c r="M370" s="455"/>
    </row>
    <row r="371" spans="1:13" s="442" customFormat="1" ht="15" customHeight="1">
      <c r="A371" s="479"/>
      <c r="B371" s="496"/>
      <c r="C371" s="480" t="s">
        <v>1531</v>
      </c>
      <c r="D371" s="497" t="s">
        <v>148</v>
      </c>
      <c r="E371" s="474" t="s">
        <v>149</v>
      </c>
      <c r="F371" s="371"/>
      <c r="G371" s="365"/>
      <c r="H371" s="498"/>
      <c r="I371" s="347"/>
      <c r="J371" s="346">
        <f t="shared" si="0"/>
        <v>0</v>
      </c>
      <c r="K371" s="346">
        <f t="shared" si="1"/>
        <v>0</v>
      </c>
      <c r="L371" s="455"/>
      <c r="M371" s="455"/>
    </row>
    <row r="372" spans="1:13" s="442" customFormat="1" ht="15" customHeight="1">
      <c r="A372" s="479"/>
      <c r="B372" s="496"/>
      <c r="C372" s="480" t="s">
        <v>1532</v>
      </c>
      <c r="D372" s="497" t="s">
        <v>344</v>
      </c>
      <c r="E372" s="465" t="s">
        <v>1417</v>
      </c>
      <c r="F372" s="371"/>
      <c r="G372" s="365"/>
      <c r="H372" s="499"/>
      <c r="I372" s="347"/>
      <c r="J372" s="346">
        <f t="shared" si="0"/>
        <v>0</v>
      </c>
      <c r="K372" s="346">
        <f t="shared" si="1"/>
        <v>0</v>
      </c>
      <c r="L372" s="455"/>
      <c r="M372" s="455"/>
    </row>
    <row r="373" spans="1:13" s="501" customFormat="1" ht="15" customHeight="1">
      <c r="A373" s="479"/>
      <c r="B373" s="496"/>
      <c r="C373" s="480" t="s">
        <v>1533</v>
      </c>
      <c r="D373" s="477">
        <v>4</v>
      </c>
      <c r="E373" s="500" t="s">
        <v>589</v>
      </c>
      <c r="F373" s="371"/>
      <c r="G373" s="365"/>
      <c r="H373" s="495">
        <f>F373+G373</f>
        <v>0</v>
      </c>
      <c r="I373" s="347"/>
      <c r="J373" s="346">
        <f t="shared" si="0"/>
        <v>0</v>
      </c>
      <c r="K373" s="346">
        <f t="shared" si="1"/>
        <v>0</v>
      </c>
      <c r="L373" s="455"/>
      <c r="M373" s="455"/>
    </row>
    <row r="374" spans="1:13" s="501" customFormat="1" ht="15" customHeight="1">
      <c r="A374" s="487"/>
      <c r="B374" s="491"/>
      <c r="C374" s="480" t="s">
        <v>1534</v>
      </c>
      <c r="D374" s="502">
        <v>30</v>
      </c>
      <c r="E374" s="500" t="s">
        <v>589</v>
      </c>
      <c r="F374" s="371"/>
      <c r="G374" s="365"/>
      <c r="H374" s="495">
        <f>F374+G374</f>
        <v>0</v>
      </c>
      <c r="I374" s="347"/>
      <c r="J374" s="346">
        <f t="shared" si="0"/>
        <v>0</v>
      </c>
      <c r="K374" s="346">
        <f t="shared" si="1"/>
        <v>0</v>
      </c>
      <c r="L374" s="455"/>
      <c r="M374" s="455"/>
    </row>
    <row r="375" spans="1:11" s="501" customFormat="1" ht="15" customHeight="1">
      <c r="A375" s="487"/>
      <c r="B375" s="491"/>
      <c r="C375" s="480" t="s">
        <v>581</v>
      </c>
      <c r="D375" s="500" t="s">
        <v>1535</v>
      </c>
      <c r="E375" s="500" t="s">
        <v>589</v>
      </c>
      <c r="F375" s="371"/>
      <c r="G375" s="365"/>
      <c r="H375" s="498"/>
      <c r="I375" s="347"/>
      <c r="J375" s="346">
        <f t="shared" si="0"/>
        <v>0</v>
      </c>
      <c r="K375" s="346">
        <f t="shared" si="1"/>
        <v>0</v>
      </c>
    </row>
    <row r="376" spans="1:11" s="501" customFormat="1" ht="15" customHeight="1">
      <c r="A376" s="487"/>
      <c r="B376" s="491"/>
      <c r="C376" s="503" t="s">
        <v>1536</v>
      </c>
      <c r="D376" s="500" t="s">
        <v>1537</v>
      </c>
      <c r="E376" s="500" t="s">
        <v>589</v>
      </c>
      <c r="F376" s="371"/>
      <c r="G376" s="365"/>
      <c r="H376" s="498"/>
      <c r="I376" s="347"/>
      <c r="J376" s="346">
        <f t="shared" si="0"/>
        <v>0</v>
      </c>
      <c r="K376" s="346">
        <f t="shared" si="1"/>
        <v>0</v>
      </c>
    </row>
    <row r="377" spans="1:11" s="501" customFormat="1" ht="15" customHeight="1">
      <c r="A377" s="487"/>
      <c r="B377" s="491"/>
      <c r="C377" s="480" t="s">
        <v>1538</v>
      </c>
      <c r="D377" s="500" t="s">
        <v>148</v>
      </c>
      <c r="E377" s="500" t="s">
        <v>149</v>
      </c>
      <c r="F377" s="371"/>
      <c r="G377" s="365"/>
      <c r="H377" s="498"/>
      <c r="I377" s="347"/>
      <c r="J377" s="346">
        <f t="shared" si="0"/>
        <v>0</v>
      </c>
      <c r="K377" s="346">
        <f t="shared" si="1"/>
        <v>0</v>
      </c>
    </row>
    <row r="378" spans="1:11" s="501" customFormat="1" ht="15" customHeight="1">
      <c r="A378" s="487"/>
      <c r="B378" s="491"/>
      <c r="C378" s="503"/>
      <c r="D378" s="500"/>
      <c r="E378" s="500"/>
      <c r="F378" s="372"/>
      <c r="G378" s="372"/>
      <c r="H378" s="474"/>
      <c r="I378" s="342"/>
      <c r="J378" s="348"/>
      <c r="K378" s="345"/>
    </row>
    <row r="379" spans="1:11" s="501" customFormat="1" ht="15" customHeight="1">
      <c r="A379" s="487"/>
      <c r="B379" s="491"/>
      <c r="C379" s="503"/>
      <c r="D379" s="500"/>
      <c r="E379" s="500"/>
      <c r="F379" s="373"/>
      <c r="G379" s="373"/>
      <c r="H379" s="504"/>
      <c r="I379" s="342"/>
      <c r="J379" s="342"/>
      <c r="K379" s="342"/>
    </row>
    <row r="380" spans="1:13" s="501" customFormat="1" ht="15" customHeight="1">
      <c r="A380" s="497"/>
      <c r="B380" s="497"/>
      <c r="C380" s="505" t="s">
        <v>1539</v>
      </c>
      <c r="D380" s="506"/>
      <c r="E380" s="477"/>
      <c r="F380" s="372"/>
      <c r="G380" s="372"/>
      <c r="H380" s="481"/>
      <c r="I380" s="349"/>
      <c r="J380" s="349"/>
      <c r="K380" s="350">
        <f>SUBTOTAL(9,K12:K379)</f>
        <v>0</v>
      </c>
      <c r="M380" s="507"/>
    </row>
    <row r="381" spans="1:13" s="501" customFormat="1" ht="15" customHeight="1">
      <c r="A381" s="508"/>
      <c r="B381" s="508"/>
      <c r="C381" s="509"/>
      <c r="D381" s="510"/>
      <c r="E381" s="511"/>
      <c r="F381" s="351"/>
      <c r="G381" s="351"/>
      <c r="H381" s="507"/>
      <c r="I381" s="352"/>
      <c r="J381" s="352"/>
      <c r="K381" s="353"/>
      <c r="M381" s="507"/>
    </row>
    <row r="382" spans="1:11" s="514" customFormat="1" ht="15" customHeight="1">
      <c r="A382" s="512"/>
      <c r="B382" s="512"/>
      <c r="C382" s="513" t="s">
        <v>1540</v>
      </c>
      <c r="D382" s="513"/>
      <c r="E382" s="513"/>
      <c r="I382" s="354">
        <f>SUBTOTAL(9,I12:I379)</f>
        <v>0</v>
      </c>
      <c r="J382" s="354">
        <f>SUBTOTAL(9,J12:J379)</f>
        <v>0</v>
      </c>
      <c r="K382" s="355">
        <f>I382+J382</f>
        <v>0</v>
      </c>
    </row>
    <row r="383" spans="1:11" s="514" customFormat="1" ht="15" customHeight="1">
      <c r="A383" s="512"/>
      <c r="B383" s="512"/>
      <c r="C383" s="515"/>
      <c r="D383" s="516"/>
      <c r="E383" s="517"/>
      <c r="F383" s="355"/>
      <c r="G383" s="355"/>
      <c r="H383" s="518"/>
      <c r="I383" s="354"/>
      <c r="J383" s="354"/>
      <c r="K383" s="355"/>
    </row>
    <row r="384" spans="1:11" s="442" customFormat="1" ht="13.5">
      <c r="A384" s="519" t="s">
        <v>109</v>
      </c>
      <c r="C384" s="520"/>
      <c r="F384" s="351"/>
      <c r="G384" s="351"/>
      <c r="I384" s="351"/>
      <c r="J384" s="351"/>
      <c r="K384" s="351"/>
    </row>
    <row r="385" spans="3:11" s="442" customFormat="1" ht="12.75" customHeight="1">
      <c r="C385" s="520" t="s">
        <v>1541</v>
      </c>
      <c r="D385" s="520"/>
      <c r="E385" s="520"/>
      <c r="F385" s="351"/>
      <c r="G385" s="351"/>
      <c r="I385" s="351"/>
      <c r="J385" s="351"/>
      <c r="K385" s="351"/>
    </row>
    <row r="386" spans="3:11" s="442" customFormat="1" ht="40.5" customHeight="1">
      <c r="C386" s="520" t="s">
        <v>1542</v>
      </c>
      <c r="D386" s="520"/>
      <c r="E386" s="520"/>
      <c r="F386" s="351"/>
      <c r="G386" s="351"/>
      <c r="I386" s="351"/>
      <c r="J386" s="351"/>
      <c r="K386" s="351"/>
    </row>
    <row r="387" spans="3:11" s="442" customFormat="1" ht="12.75" customHeight="1">
      <c r="C387" s="520" t="s">
        <v>1543</v>
      </c>
      <c r="D387" s="520"/>
      <c r="E387" s="520"/>
      <c r="F387" s="351"/>
      <c r="G387" s="351"/>
      <c r="I387" s="351"/>
      <c r="J387" s="351"/>
      <c r="K387" s="351"/>
    </row>
  </sheetData>
  <mergeCells count="2">
    <mergeCell ref="I10:K10"/>
    <mergeCell ref="F10:H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1"/>
  <headerFooter>
    <oddHeader>&amp;LBD Hübnerové&amp;ROdhad stavebních nákladů</oddHeader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G197"/>
  <sheetViews>
    <sheetView view="pageBreakPreview" zoomScaleSheetLayoutView="100" workbookViewId="0" topLeftCell="A1">
      <selection activeCell="B3" sqref="B3"/>
    </sheetView>
  </sheetViews>
  <sheetFormatPr defaultColWidth="9.33203125" defaultRowHeight="13.5"/>
  <cols>
    <col min="1" max="1" width="12.83203125" style="429" customWidth="1"/>
    <col min="2" max="2" width="69.83203125" style="430" customWidth="1"/>
    <col min="3" max="3" width="13" style="428" customWidth="1"/>
    <col min="4" max="4" width="14.5" style="64" customWidth="1"/>
    <col min="5" max="5" width="18" style="65" customWidth="1"/>
    <col min="6" max="6" width="25.83203125" style="65" customWidth="1"/>
    <col min="7" max="7" width="1.83203125" style="428" customWidth="1"/>
    <col min="8" max="246" width="9.33203125" style="428" customWidth="1"/>
    <col min="247" max="247" width="12.83203125" style="428" customWidth="1"/>
    <col min="248" max="248" width="82.83203125" style="428" customWidth="1"/>
    <col min="249" max="249" width="13" style="428" customWidth="1"/>
    <col min="250" max="250" width="10.16015625" style="428" customWidth="1"/>
    <col min="251" max="251" width="11.83203125" style="428" customWidth="1"/>
    <col min="252" max="252" width="15.66015625" style="428" customWidth="1"/>
    <col min="253" max="502" width="9.33203125" style="428" customWidth="1"/>
    <col min="503" max="503" width="12.83203125" style="428" customWidth="1"/>
    <col min="504" max="504" width="82.83203125" style="428" customWidth="1"/>
    <col min="505" max="505" width="13" style="428" customWidth="1"/>
    <col min="506" max="506" width="10.16015625" style="428" customWidth="1"/>
    <col min="507" max="507" width="11.83203125" style="428" customWidth="1"/>
    <col min="508" max="508" width="15.66015625" style="428" customWidth="1"/>
    <col min="509" max="758" width="9.33203125" style="428" customWidth="1"/>
    <col min="759" max="759" width="12.83203125" style="428" customWidth="1"/>
    <col min="760" max="760" width="82.83203125" style="428" customWidth="1"/>
    <col min="761" max="761" width="13" style="428" customWidth="1"/>
    <col min="762" max="762" width="10.16015625" style="428" customWidth="1"/>
    <col min="763" max="763" width="11.83203125" style="428" customWidth="1"/>
    <col min="764" max="764" width="15.66015625" style="428" customWidth="1"/>
    <col min="765" max="1014" width="9.33203125" style="428" customWidth="1"/>
    <col min="1015" max="1015" width="12.83203125" style="428" customWidth="1"/>
    <col min="1016" max="1016" width="82.83203125" style="428" customWidth="1"/>
    <col min="1017" max="1017" width="13" style="428" customWidth="1"/>
    <col min="1018" max="1018" width="10.16015625" style="428" customWidth="1"/>
    <col min="1019" max="1019" width="11.83203125" style="428" customWidth="1"/>
    <col min="1020" max="1020" width="15.66015625" style="428" customWidth="1"/>
    <col min="1021" max="1270" width="9.33203125" style="428" customWidth="1"/>
    <col min="1271" max="1271" width="12.83203125" style="428" customWidth="1"/>
    <col min="1272" max="1272" width="82.83203125" style="428" customWidth="1"/>
    <col min="1273" max="1273" width="13" style="428" customWidth="1"/>
    <col min="1274" max="1274" width="10.16015625" style="428" customWidth="1"/>
    <col min="1275" max="1275" width="11.83203125" style="428" customWidth="1"/>
    <col min="1276" max="1276" width="15.66015625" style="428" customWidth="1"/>
    <col min="1277" max="1526" width="9.33203125" style="428" customWidth="1"/>
    <col min="1527" max="1527" width="12.83203125" style="428" customWidth="1"/>
    <col min="1528" max="1528" width="82.83203125" style="428" customWidth="1"/>
    <col min="1529" max="1529" width="13" style="428" customWidth="1"/>
    <col min="1530" max="1530" width="10.16015625" style="428" customWidth="1"/>
    <col min="1531" max="1531" width="11.83203125" style="428" customWidth="1"/>
    <col min="1532" max="1532" width="15.66015625" style="428" customWidth="1"/>
    <col min="1533" max="1782" width="9.33203125" style="428" customWidth="1"/>
    <col min="1783" max="1783" width="12.83203125" style="428" customWidth="1"/>
    <col min="1784" max="1784" width="82.83203125" style="428" customWidth="1"/>
    <col min="1785" max="1785" width="13" style="428" customWidth="1"/>
    <col min="1786" max="1786" width="10.16015625" style="428" customWidth="1"/>
    <col min="1787" max="1787" width="11.83203125" style="428" customWidth="1"/>
    <col min="1788" max="1788" width="15.66015625" style="428" customWidth="1"/>
    <col min="1789" max="2038" width="9.33203125" style="428" customWidth="1"/>
    <col min="2039" max="2039" width="12.83203125" style="428" customWidth="1"/>
    <col min="2040" max="2040" width="82.83203125" style="428" customWidth="1"/>
    <col min="2041" max="2041" width="13" style="428" customWidth="1"/>
    <col min="2042" max="2042" width="10.16015625" style="428" customWidth="1"/>
    <col min="2043" max="2043" width="11.83203125" style="428" customWidth="1"/>
    <col min="2044" max="2044" width="15.66015625" style="428" customWidth="1"/>
    <col min="2045" max="2294" width="9.33203125" style="428" customWidth="1"/>
    <col min="2295" max="2295" width="12.83203125" style="428" customWidth="1"/>
    <col min="2296" max="2296" width="82.83203125" style="428" customWidth="1"/>
    <col min="2297" max="2297" width="13" style="428" customWidth="1"/>
    <col min="2298" max="2298" width="10.16015625" style="428" customWidth="1"/>
    <col min="2299" max="2299" width="11.83203125" style="428" customWidth="1"/>
    <col min="2300" max="2300" width="15.66015625" style="428" customWidth="1"/>
    <col min="2301" max="2550" width="9.33203125" style="428" customWidth="1"/>
    <col min="2551" max="2551" width="12.83203125" style="428" customWidth="1"/>
    <col min="2552" max="2552" width="82.83203125" style="428" customWidth="1"/>
    <col min="2553" max="2553" width="13" style="428" customWidth="1"/>
    <col min="2554" max="2554" width="10.16015625" style="428" customWidth="1"/>
    <col min="2555" max="2555" width="11.83203125" style="428" customWidth="1"/>
    <col min="2556" max="2556" width="15.66015625" style="428" customWidth="1"/>
    <col min="2557" max="2806" width="9.33203125" style="428" customWidth="1"/>
    <col min="2807" max="2807" width="12.83203125" style="428" customWidth="1"/>
    <col min="2808" max="2808" width="82.83203125" style="428" customWidth="1"/>
    <col min="2809" max="2809" width="13" style="428" customWidth="1"/>
    <col min="2810" max="2810" width="10.16015625" style="428" customWidth="1"/>
    <col min="2811" max="2811" width="11.83203125" style="428" customWidth="1"/>
    <col min="2812" max="2812" width="15.66015625" style="428" customWidth="1"/>
    <col min="2813" max="3062" width="9.33203125" style="428" customWidth="1"/>
    <col min="3063" max="3063" width="12.83203125" style="428" customWidth="1"/>
    <col min="3064" max="3064" width="82.83203125" style="428" customWidth="1"/>
    <col min="3065" max="3065" width="13" style="428" customWidth="1"/>
    <col min="3066" max="3066" width="10.16015625" style="428" customWidth="1"/>
    <col min="3067" max="3067" width="11.83203125" style="428" customWidth="1"/>
    <col min="3068" max="3068" width="15.66015625" style="428" customWidth="1"/>
    <col min="3069" max="3318" width="9.33203125" style="428" customWidth="1"/>
    <col min="3319" max="3319" width="12.83203125" style="428" customWidth="1"/>
    <col min="3320" max="3320" width="82.83203125" style="428" customWidth="1"/>
    <col min="3321" max="3321" width="13" style="428" customWidth="1"/>
    <col min="3322" max="3322" width="10.16015625" style="428" customWidth="1"/>
    <col min="3323" max="3323" width="11.83203125" style="428" customWidth="1"/>
    <col min="3324" max="3324" width="15.66015625" style="428" customWidth="1"/>
    <col min="3325" max="3574" width="9.33203125" style="428" customWidth="1"/>
    <col min="3575" max="3575" width="12.83203125" style="428" customWidth="1"/>
    <col min="3576" max="3576" width="82.83203125" style="428" customWidth="1"/>
    <col min="3577" max="3577" width="13" style="428" customWidth="1"/>
    <col min="3578" max="3578" width="10.16015625" style="428" customWidth="1"/>
    <col min="3579" max="3579" width="11.83203125" style="428" customWidth="1"/>
    <col min="3580" max="3580" width="15.66015625" style="428" customWidth="1"/>
    <col min="3581" max="3830" width="9.33203125" style="428" customWidth="1"/>
    <col min="3831" max="3831" width="12.83203125" style="428" customWidth="1"/>
    <col min="3832" max="3832" width="82.83203125" style="428" customWidth="1"/>
    <col min="3833" max="3833" width="13" style="428" customWidth="1"/>
    <col min="3834" max="3834" width="10.16015625" style="428" customWidth="1"/>
    <col min="3835" max="3835" width="11.83203125" style="428" customWidth="1"/>
    <col min="3836" max="3836" width="15.66015625" style="428" customWidth="1"/>
    <col min="3837" max="4086" width="9.33203125" style="428" customWidth="1"/>
    <col min="4087" max="4087" width="12.83203125" style="428" customWidth="1"/>
    <col min="4088" max="4088" width="82.83203125" style="428" customWidth="1"/>
    <col min="4089" max="4089" width="13" style="428" customWidth="1"/>
    <col min="4090" max="4090" width="10.16015625" style="428" customWidth="1"/>
    <col min="4091" max="4091" width="11.83203125" style="428" customWidth="1"/>
    <col min="4092" max="4092" width="15.66015625" style="428" customWidth="1"/>
    <col min="4093" max="4342" width="9.33203125" style="428" customWidth="1"/>
    <col min="4343" max="4343" width="12.83203125" style="428" customWidth="1"/>
    <col min="4344" max="4344" width="82.83203125" style="428" customWidth="1"/>
    <col min="4345" max="4345" width="13" style="428" customWidth="1"/>
    <col min="4346" max="4346" width="10.16015625" style="428" customWidth="1"/>
    <col min="4347" max="4347" width="11.83203125" style="428" customWidth="1"/>
    <col min="4348" max="4348" width="15.66015625" style="428" customWidth="1"/>
    <col min="4349" max="4598" width="9.33203125" style="428" customWidth="1"/>
    <col min="4599" max="4599" width="12.83203125" style="428" customWidth="1"/>
    <col min="4600" max="4600" width="82.83203125" style="428" customWidth="1"/>
    <col min="4601" max="4601" width="13" style="428" customWidth="1"/>
    <col min="4602" max="4602" width="10.16015625" style="428" customWidth="1"/>
    <col min="4603" max="4603" width="11.83203125" style="428" customWidth="1"/>
    <col min="4604" max="4604" width="15.66015625" style="428" customWidth="1"/>
    <col min="4605" max="4854" width="9.33203125" style="428" customWidth="1"/>
    <col min="4855" max="4855" width="12.83203125" style="428" customWidth="1"/>
    <col min="4856" max="4856" width="82.83203125" style="428" customWidth="1"/>
    <col min="4857" max="4857" width="13" style="428" customWidth="1"/>
    <col min="4858" max="4858" width="10.16015625" style="428" customWidth="1"/>
    <col min="4859" max="4859" width="11.83203125" style="428" customWidth="1"/>
    <col min="4860" max="4860" width="15.66015625" style="428" customWidth="1"/>
    <col min="4861" max="5110" width="9.33203125" style="428" customWidth="1"/>
    <col min="5111" max="5111" width="12.83203125" style="428" customWidth="1"/>
    <col min="5112" max="5112" width="82.83203125" style="428" customWidth="1"/>
    <col min="5113" max="5113" width="13" style="428" customWidth="1"/>
    <col min="5114" max="5114" width="10.16015625" style="428" customWidth="1"/>
    <col min="5115" max="5115" width="11.83203125" style="428" customWidth="1"/>
    <col min="5116" max="5116" width="15.66015625" style="428" customWidth="1"/>
    <col min="5117" max="5366" width="9.33203125" style="428" customWidth="1"/>
    <col min="5367" max="5367" width="12.83203125" style="428" customWidth="1"/>
    <col min="5368" max="5368" width="82.83203125" style="428" customWidth="1"/>
    <col min="5369" max="5369" width="13" style="428" customWidth="1"/>
    <col min="5370" max="5370" width="10.16015625" style="428" customWidth="1"/>
    <col min="5371" max="5371" width="11.83203125" style="428" customWidth="1"/>
    <col min="5372" max="5372" width="15.66015625" style="428" customWidth="1"/>
    <col min="5373" max="5622" width="9.33203125" style="428" customWidth="1"/>
    <col min="5623" max="5623" width="12.83203125" style="428" customWidth="1"/>
    <col min="5624" max="5624" width="82.83203125" style="428" customWidth="1"/>
    <col min="5625" max="5625" width="13" style="428" customWidth="1"/>
    <col min="5626" max="5626" width="10.16015625" style="428" customWidth="1"/>
    <col min="5627" max="5627" width="11.83203125" style="428" customWidth="1"/>
    <col min="5628" max="5628" width="15.66015625" style="428" customWidth="1"/>
    <col min="5629" max="5878" width="9.33203125" style="428" customWidth="1"/>
    <col min="5879" max="5879" width="12.83203125" style="428" customWidth="1"/>
    <col min="5880" max="5880" width="82.83203125" style="428" customWidth="1"/>
    <col min="5881" max="5881" width="13" style="428" customWidth="1"/>
    <col min="5882" max="5882" width="10.16015625" style="428" customWidth="1"/>
    <col min="5883" max="5883" width="11.83203125" style="428" customWidth="1"/>
    <col min="5884" max="5884" width="15.66015625" style="428" customWidth="1"/>
    <col min="5885" max="6134" width="9.33203125" style="428" customWidth="1"/>
    <col min="6135" max="6135" width="12.83203125" style="428" customWidth="1"/>
    <col min="6136" max="6136" width="82.83203125" style="428" customWidth="1"/>
    <col min="6137" max="6137" width="13" style="428" customWidth="1"/>
    <col min="6138" max="6138" width="10.16015625" style="428" customWidth="1"/>
    <col min="6139" max="6139" width="11.83203125" style="428" customWidth="1"/>
    <col min="6140" max="6140" width="15.66015625" style="428" customWidth="1"/>
    <col min="6141" max="6390" width="9.33203125" style="428" customWidth="1"/>
    <col min="6391" max="6391" width="12.83203125" style="428" customWidth="1"/>
    <col min="6392" max="6392" width="82.83203125" style="428" customWidth="1"/>
    <col min="6393" max="6393" width="13" style="428" customWidth="1"/>
    <col min="6394" max="6394" width="10.16015625" style="428" customWidth="1"/>
    <col min="6395" max="6395" width="11.83203125" style="428" customWidth="1"/>
    <col min="6396" max="6396" width="15.66015625" style="428" customWidth="1"/>
    <col min="6397" max="6646" width="9.33203125" style="428" customWidth="1"/>
    <col min="6647" max="6647" width="12.83203125" style="428" customWidth="1"/>
    <col min="6648" max="6648" width="82.83203125" style="428" customWidth="1"/>
    <col min="6649" max="6649" width="13" style="428" customWidth="1"/>
    <col min="6650" max="6650" width="10.16015625" style="428" customWidth="1"/>
    <col min="6651" max="6651" width="11.83203125" style="428" customWidth="1"/>
    <col min="6652" max="6652" width="15.66015625" style="428" customWidth="1"/>
    <col min="6653" max="6902" width="9.33203125" style="428" customWidth="1"/>
    <col min="6903" max="6903" width="12.83203125" style="428" customWidth="1"/>
    <col min="6904" max="6904" width="82.83203125" style="428" customWidth="1"/>
    <col min="6905" max="6905" width="13" style="428" customWidth="1"/>
    <col min="6906" max="6906" width="10.16015625" style="428" customWidth="1"/>
    <col min="6907" max="6907" width="11.83203125" style="428" customWidth="1"/>
    <col min="6908" max="6908" width="15.66015625" style="428" customWidth="1"/>
    <col min="6909" max="7158" width="9.33203125" style="428" customWidth="1"/>
    <col min="7159" max="7159" width="12.83203125" style="428" customWidth="1"/>
    <col min="7160" max="7160" width="82.83203125" style="428" customWidth="1"/>
    <col min="7161" max="7161" width="13" style="428" customWidth="1"/>
    <col min="7162" max="7162" width="10.16015625" style="428" customWidth="1"/>
    <col min="7163" max="7163" width="11.83203125" style="428" customWidth="1"/>
    <col min="7164" max="7164" width="15.66015625" style="428" customWidth="1"/>
    <col min="7165" max="7414" width="9.33203125" style="428" customWidth="1"/>
    <col min="7415" max="7415" width="12.83203125" style="428" customWidth="1"/>
    <col min="7416" max="7416" width="82.83203125" style="428" customWidth="1"/>
    <col min="7417" max="7417" width="13" style="428" customWidth="1"/>
    <col min="7418" max="7418" width="10.16015625" style="428" customWidth="1"/>
    <col min="7419" max="7419" width="11.83203125" style="428" customWidth="1"/>
    <col min="7420" max="7420" width="15.66015625" style="428" customWidth="1"/>
    <col min="7421" max="7670" width="9.33203125" style="428" customWidth="1"/>
    <col min="7671" max="7671" width="12.83203125" style="428" customWidth="1"/>
    <col min="7672" max="7672" width="82.83203125" style="428" customWidth="1"/>
    <col min="7673" max="7673" width="13" style="428" customWidth="1"/>
    <col min="7674" max="7674" width="10.16015625" style="428" customWidth="1"/>
    <col min="7675" max="7675" width="11.83203125" style="428" customWidth="1"/>
    <col min="7676" max="7676" width="15.66015625" style="428" customWidth="1"/>
    <col min="7677" max="7926" width="9.33203125" style="428" customWidth="1"/>
    <col min="7927" max="7927" width="12.83203125" style="428" customWidth="1"/>
    <col min="7928" max="7928" width="82.83203125" style="428" customWidth="1"/>
    <col min="7929" max="7929" width="13" style="428" customWidth="1"/>
    <col min="7930" max="7930" width="10.16015625" style="428" customWidth="1"/>
    <col min="7931" max="7931" width="11.83203125" style="428" customWidth="1"/>
    <col min="7932" max="7932" width="15.66015625" style="428" customWidth="1"/>
    <col min="7933" max="8182" width="9.33203125" style="428" customWidth="1"/>
    <col min="8183" max="8183" width="12.83203125" style="428" customWidth="1"/>
    <col min="8184" max="8184" width="82.83203125" style="428" customWidth="1"/>
    <col min="8185" max="8185" width="13" style="428" customWidth="1"/>
    <col min="8186" max="8186" width="10.16015625" style="428" customWidth="1"/>
    <col min="8187" max="8187" width="11.83203125" style="428" customWidth="1"/>
    <col min="8188" max="8188" width="15.66015625" style="428" customWidth="1"/>
    <col min="8189" max="8438" width="9.33203125" style="428" customWidth="1"/>
    <col min="8439" max="8439" width="12.83203125" style="428" customWidth="1"/>
    <col min="8440" max="8440" width="82.83203125" style="428" customWidth="1"/>
    <col min="8441" max="8441" width="13" style="428" customWidth="1"/>
    <col min="8442" max="8442" width="10.16015625" style="428" customWidth="1"/>
    <col min="8443" max="8443" width="11.83203125" style="428" customWidth="1"/>
    <col min="8444" max="8444" width="15.66015625" style="428" customWidth="1"/>
    <col min="8445" max="8694" width="9.33203125" style="428" customWidth="1"/>
    <col min="8695" max="8695" width="12.83203125" style="428" customWidth="1"/>
    <col min="8696" max="8696" width="82.83203125" style="428" customWidth="1"/>
    <col min="8697" max="8697" width="13" style="428" customWidth="1"/>
    <col min="8698" max="8698" width="10.16015625" style="428" customWidth="1"/>
    <col min="8699" max="8699" width="11.83203125" style="428" customWidth="1"/>
    <col min="8700" max="8700" width="15.66015625" style="428" customWidth="1"/>
    <col min="8701" max="8950" width="9.33203125" style="428" customWidth="1"/>
    <col min="8951" max="8951" width="12.83203125" style="428" customWidth="1"/>
    <col min="8952" max="8952" width="82.83203125" style="428" customWidth="1"/>
    <col min="8953" max="8953" width="13" style="428" customWidth="1"/>
    <col min="8954" max="8954" width="10.16015625" style="428" customWidth="1"/>
    <col min="8955" max="8955" width="11.83203125" style="428" customWidth="1"/>
    <col min="8956" max="8956" width="15.66015625" style="428" customWidth="1"/>
    <col min="8957" max="9206" width="9.33203125" style="428" customWidth="1"/>
    <col min="9207" max="9207" width="12.83203125" style="428" customWidth="1"/>
    <col min="9208" max="9208" width="82.83203125" style="428" customWidth="1"/>
    <col min="9209" max="9209" width="13" style="428" customWidth="1"/>
    <col min="9210" max="9210" width="10.16015625" style="428" customWidth="1"/>
    <col min="9211" max="9211" width="11.83203125" style="428" customWidth="1"/>
    <col min="9212" max="9212" width="15.66015625" style="428" customWidth="1"/>
    <col min="9213" max="9462" width="9.33203125" style="428" customWidth="1"/>
    <col min="9463" max="9463" width="12.83203125" style="428" customWidth="1"/>
    <col min="9464" max="9464" width="82.83203125" style="428" customWidth="1"/>
    <col min="9465" max="9465" width="13" style="428" customWidth="1"/>
    <col min="9466" max="9466" width="10.16015625" style="428" customWidth="1"/>
    <col min="9467" max="9467" width="11.83203125" style="428" customWidth="1"/>
    <col min="9468" max="9468" width="15.66015625" style="428" customWidth="1"/>
    <col min="9469" max="9718" width="9.33203125" style="428" customWidth="1"/>
    <col min="9719" max="9719" width="12.83203125" style="428" customWidth="1"/>
    <col min="9720" max="9720" width="82.83203125" style="428" customWidth="1"/>
    <col min="9721" max="9721" width="13" style="428" customWidth="1"/>
    <col min="9722" max="9722" width="10.16015625" style="428" customWidth="1"/>
    <col min="9723" max="9723" width="11.83203125" style="428" customWidth="1"/>
    <col min="9724" max="9724" width="15.66015625" style="428" customWidth="1"/>
    <col min="9725" max="9974" width="9.33203125" style="428" customWidth="1"/>
    <col min="9975" max="9975" width="12.83203125" style="428" customWidth="1"/>
    <col min="9976" max="9976" width="82.83203125" style="428" customWidth="1"/>
    <col min="9977" max="9977" width="13" style="428" customWidth="1"/>
    <col min="9978" max="9978" width="10.16015625" style="428" customWidth="1"/>
    <col min="9979" max="9979" width="11.83203125" style="428" customWidth="1"/>
    <col min="9980" max="9980" width="15.66015625" style="428" customWidth="1"/>
    <col min="9981" max="10230" width="9.33203125" style="428" customWidth="1"/>
    <col min="10231" max="10231" width="12.83203125" style="428" customWidth="1"/>
    <col min="10232" max="10232" width="82.83203125" style="428" customWidth="1"/>
    <col min="10233" max="10233" width="13" style="428" customWidth="1"/>
    <col min="10234" max="10234" width="10.16015625" style="428" customWidth="1"/>
    <col min="10235" max="10235" width="11.83203125" style="428" customWidth="1"/>
    <col min="10236" max="10236" width="15.66015625" style="428" customWidth="1"/>
    <col min="10237" max="10486" width="9.33203125" style="428" customWidth="1"/>
    <col min="10487" max="10487" width="12.83203125" style="428" customWidth="1"/>
    <col min="10488" max="10488" width="82.83203125" style="428" customWidth="1"/>
    <col min="10489" max="10489" width="13" style="428" customWidth="1"/>
    <col min="10490" max="10490" width="10.16015625" style="428" customWidth="1"/>
    <col min="10491" max="10491" width="11.83203125" style="428" customWidth="1"/>
    <col min="10492" max="10492" width="15.66015625" style="428" customWidth="1"/>
    <col min="10493" max="10742" width="9.33203125" style="428" customWidth="1"/>
    <col min="10743" max="10743" width="12.83203125" style="428" customWidth="1"/>
    <col min="10744" max="10744" width="82.83203125" style="428" customWidth="1"/>
    <col min="10745" max="10745" width="13" style="428" customWidth="1"/>
    <col min="10746" max="10746" width="10.16015625" style="428" customWidth="1"/>
    <col min="10747" max="10747" width="11.83203125" style="428" customWidth="1"/>
    <col min="10748" max="10748" width="15.66015625" style="428" customWidth="1"/>
    <col min="10749" max="10998" width="9.33203125" style="428" customWidth="1"/>
    <col min="10999" max="10999" width="12.83203125" style="428" customWidth="1"/>
    <col min="11000" max="11000" width="82.83203125" style="428" customWidth="1"/>
    <col min="11001" max="11001" width="13" style="428" customWidth="1"/>
    <col min="11002" max="11002" width="10.16015625" style="428" customWidth="1"/>
    <col min="11003" max="11003" width="11.83203125" style="428" customWidth="1"/>
    <col min="11004" max="11004" width="15.66015625" style="428" customWidth="1"/>
    <col min="11005" max="11254" width="9.33203125" style="428" customWidth="1"/>
    <col min="11255" max="11255" width="12.83203125" style="428" customWidth="1"/>
    <col min="11256" max="11256" width="82.83203125" style="428" customWidth="1"/>
    <col min="11257" max="11257" width="13" style="428" customWidth="1"/>
    <col min="11258" max="11258" width="10.16015625" style="428" customWidth="1"/>
    <col min="11259" max="11259" width="11.83203125" style="428" customWidth="1"/>
    <col min="11260" max="11260" width="15.66015625" style="428" customWidth="1"/>
    <col min="11261" max="11510" width="9.33203125" style="428" customWidth="1"/>
    <col min="11511" max="11511" width="12.83203125" style="428" customWidth="1"/>
    <col min="11512" max="11512" width="82.83203125" style="428" customWidth="1"/>
    <col min="11513" max="11513" width="13" style="428" customWidth="1"/>
    <col min="11514" max="11514" width="10.16015625" style="428" customWidth="1"/>
    <col min="11515" max="11515" width="11.83203125" style="428" customWidth="1"/>
    <col min="11516" max="11516" width="15.66015625" style="428" customWidth="1"/>
    <col min="11517" max="11766" width="9.33203125" style="428" customWidth="1"/>
    <col min="11767" max="11767" width="12.83203125" style="428" customWidth="1"/>
    <col min="11768" max="11768" width="82.83203125" style="428" customWidth="1"/>
    <col min="11769" max="11769" width="13" style="428" customWidth="1"/>
    <col min="11770" max="11770" width="10.16015625" style="428" customWidth="1"/>
    <col min="11771" max="11771" width="11.83203125" style="428" customWidth="1"/>
    <col min="11772" max="11772" width="15.66015625" style="428" customWidth="1"/>
    <col min="11773" max="12022" width="9.33203125" style="428" customWidth="1"/>
    <col min="12023" max="12023" width="12.83203125" style="428" customWidth="1"/>
    <col min="12024" max="12024" width="82.83203125" style="428" customWidth="1"/>
    <col min="12025" max="12025" width="13" style="428" customWidth="1"/>
    <col min="12026" max="12026" width="10.16015625" style="428" customWidth="1"/>
    <col min="12027" max="12027" width="11.83203125" style="428" customWidth="1"/>
    <col min="12028" max="12028" width="15.66015625" style="428" customWidth="1"/>
    <col min="12029" max="12278" width="9.33203125" style="428" customWidth="1"/>
    <col min="12279" max="12279" width="12.83203125" style="428" customWidth="1"/>
    <col min="12280" max="12280" width="82.83203125" style="428" customWidth="1"/>
    <col min="12281" max="12281" width="13" style="428" customWidth="1"/>
    <col min="12282" max="12282" width="10.16015625" style="428" customWidth="1"/>
    <col min="12283" max="12283" width="11.83203125" style="428" customWidth="1"/>
    <col min="12284" max="12284" width="15.66015625" style="428" customWidth="1"/>
    <col min="12285" max="12534" width="9.33203125" style="428" customWidth="1"/>
    <col min="12535" max="12535" width="12.83203125" style="428" customWidth="1"/>
    <col min="12536" max="12536" width="82.83203125" style="428" customWidth="1"/>
    <col min="12537" max="12537" width="13" style="428" customWidth="1"/>
    <col min="12538" max="12538" width="10.16015625" style="428" customWidth="1"/>
    <col min="12539" max="12539" width="11.83203125" style="428" customWidth="1"/>
    <col min="12540" max="12540" width="15.66015625" style="428" customWidth="1"/>
    <col min="12541" max="12790" width="9.33203125" style="428" customWidth="1"/>
    <col min="12791" max="12791" width="12.83203125" style="428" customWidth="1"/>
    <col min="12792" max="12792" width="82.83203125" style="428" customWidth="1"/>
    <col min="12793" max="12793" width="13" style="428" customWidth="1"/>
    <col min="12794" max="12794" width="10.16015625" style="428" customWidth="1"/>
    <col min="12795" max="12795" width="11.83203125" style="428" customWidth="1"/>
    <col min="12796" max="12796" width="15.66015625" style="428" customWidth="1"/>
    <col min="12797" max="13046" width="9.33203125" style="428" customWidth="1"/>
    <col min="13047" max="13047" width="12.83203125" style="428" customWidth="1"/>
    <col min="13048" max="13048" width="82.83203125" style="428" customWidth="1"/>
    <col min="13049" max="13049" width="13" style="428" customWidth="1"/>
    <col min="13050" max="13050" width="10.16015625" style="428" customWidth="1"/>
    <col min="13051" max="13051" width="11.83203125" style="428" customWidth="1"/>
    <col min="13052" max="13052" width="15.66015625" style="428" customWidth="1"/>
    <col min="13053" max="13302" width="9.33203125" style="428" customWidth="1"/>
    <col min="13303" max="13303" width="12.83203125" style="428" customWidth="1"/>
    <col min="13304" max="13304" width="82.83203125" style="428" customWidth="1"/>
    <col min="13305" max="13305" width="13" style="428" customWidth="1"/>
    <col min="13306" max="13306" width="10.16015625" style="428" customWidth="1"/>
    <col min="13307" max="13307" width="11.83203125" style="428" customWidth="1"/>
    <col min="13308" max="13308" width="15.66015625" style="428" customWidth="1"/>
    <col min="13309" max="13558" width="9.33203125" style="428" customWidth="1"/>
    <col min="13559" max="13559" width="12.83203125" style="428" customWidth="1"/>
    <col min="13560" max="13560" width="82.83203125" style="428" customWidth="1"/>
    <col min="13561" max="13561" width="13" style="428" customWidth="1"/>
    <col min="13562" max="13562" width="10.16015625" style="428" customWidth="1"/>
    <col min="13563" max="13563" width="11.83203125" style="428" customWidth="1"/>
    <col min="13564" max="13564" width="15.66015625" style="428" customWidth="1"/>
    <col min="13565" max="13814" width="9.33203125" style="428" customWidth="1"/>
    <col min="13815" max="13815" width="12.83203125" style="428" customWidth="1"/>
    <col min="13816" max="13816" width="82.83203125" style="428" customWidth="1"/>
    <col min="13817" max="13817" width="13" style="428" customWidth="1"/>
    <col min="13818" max="13818" width="10.16015625" style="428" customWidth="1"/>
    <col min="13819" max="13819" width="11.83203125" style="428" customWidth="1"/>
    <col min="13820" max="13820" width="15.66015625" style="428" customWidth="1"/>
    <col min="13821" max="14070" width="9.33203125" style="428" customWidth="1"/>
    <col min="14071" max="14071" width="12.83203125" style="428" customWidth="1"/>
    <col min="14072" max="14072" width="82.83203125" style="428" customWidth="1"/>
    <col min="14073" max="14073" width="13" style="428" customWidth="1"/>
    <col min="14074" max="14074" width="10.16015625" style="428" customWidth="1"/>
    <col min="14075" max="14075" width="11.83203125" style="428" customWidth="1"/>
    <col min="14076" max="14076" width="15.66015625" style="428" customWidth="1"/>
    <col min="14077" max="14326" width="9.33203125" style="428" customWidth="1"/>
    <col min="14327" max="14327" width="12.83203125" style="428" customWidth="1"/>
    <col min="14328" max="14328" width="82.83203125" style="428" customWidth="1"/>
    <col min="14329" max="14329" width="13" style="428" customWidth="1"/>
    <col min="14330" max="14330" width="10.16015625" style="428" customWidth="1"/>
    <col min="14331" max="14331" width="11.83203125" style="428" customWidth="1"/>
    <col min="14332" max="14332" width="15.66015625" style="428" customWidth="1"/>
    <col min="14333" max="14582" width="9.33203125" style="428" customWidth="1"/>
    <col min="14583" max="14583" width="12.83203125" style="428" customWidth="1"/>
    <col min="14584" max="14584" width="82.83203125" style="428" customWidth="1"/>
    <col min="14585" max="14585" width="13" style="428" customWidth="1"/>
    <col min="14586" max="14586" width="10.16015625" style="428" customWidth="1"/>
    <col min="14587" max="14587" width="11.83203125" style="428" customWidth="1"/>
    <col min="14588" max="14588" width="15.66015625" style="428" customWidth="1"/>
    <col min="14589" max="14838" width="9.33203125" style="428" customWidth="1"/>
    <col min="14839" max="14839" width="12.83203125" style="428" customWidth="1"/>
    <col min="14840" max="14840" width="82.83203125" style="428" customWidth="1"/>
    <col min="14841" max="14841" width="13" style="428" customWidth="1"/>
    <col min="14842" max="14842" width="10.16015625" style="428" customWidth="1"/>
    <col min="14843" max="14843" width="11.83203125" style="428" customWidth="1"/>
    <col min="14844" max="14844" width="15.66015625" style="428" customWidth="1"/>
    <col min="14845" max="15094" width="9.33203125" style="428" customWidth="1"/>
    <col min="15095" max="15095" width="12.83203125" style="428" customWidth="1"/>
    <col min="15096" max="15096" width="82.83203125" style="428" customWidth="1"/>
    <col min="15097" max="15097" width="13" style="428" customWidth="1"/>
    <col min="15098" max="15098" width="10.16015625" style="428" customWidth="1"/>
    <col min="15099" max="15099" width="11.83203125" style="428" customWidth="1"/>
    <col min="15100" max="15100" width="15.66015625" style="428" customWidth="1"/>
    <col min="15101" max="15350" width="9.33203125" style="428" customWidth="1"/>
    <col min="15351" max="15351" width="12.83203125" style="428" customWidth="1"/>
    <col min="15352" max="15352" width="82.83203125" style="428" customWidth="1"/>
    <col min="15353" max="15353" width="13" style="428" customWidth="1"/>
    <col min="15354" max="15354" width="10.16015625" style="428" customWidth="1"/>
    <col min="15355" max="15355" width="11.83203125" style="428" customWidth="1"/>
    <col min="15356" max="15356" width="15.66015625" style="428" customWidth="1"/>
    <col min="15357" max="15606" width="9.33203125" style="428" customWidth="1"/>
    <col min="15607" max="15607" width="12.83203125" style="428" customWidth="1"/>
    <col min="15608" max="15608" width="82.83203125" style="428" customWidth="1"/>
    <col min="15609" max="15609" width="13" style="428" customWidth="1"/>
    <col min="15610" max="15610" width="10.16015625" style="428" customWidth="1"/>
    <col min="15611" max="15611" width="11.83203125" style="428" customWidth="1"/>
    <col min="15612" max="15612" width="15.66015625" style="428" customWidth="1"/>
    <col min="15613" max="15862" width="9.33203125" style="428" customWidth="1"/>
    <col min="15863" max="15863" width="12.83203125" style="428" customWidth="1"/>
    <col min="15864" max="15864" width="82.83203125" style="428" customWidth="1"/>
    <col min="15865" max="15865" width="13" style="428" customWidth="1"/>
    <col min="15866" max="15866" width="10.16015625" style="428" customWidth="1"/>
    <col min="15867" max="15867" width="11.83203125" style="428" customWidth="1"/>
    <col min="15868" max="15868" width="15.66015625" style="428" customWidth="1"/>
    <col min="15869" max="16118" width="9.33203125" style="428" customWidth="1"/>
    <col min="16119" max="16119" width="12.83203125" style="428" customWidth="1"/>
    <col min="16120" max="16120" width="82.83203125" style="428" customWidth="1"/>
    <col min="16121" max="16121" width="13" style="428" customWidth="1"/>
    <col min="16122" max="16122" width="10.16015625" style="428" customWidth="1"/>
    <col min="16123" max="16123" width="11.83203125" style="428" customWidth="1"/>
    <col min="16124" max="16124" width="15.66015625" style="428" customWidth="1"/>
    <col min="16125" max="16384" width="9.33203125" style="428" customWidth="1"/>
  </cols>
  <sheetData>
    <row r="1" spans="1:6" ht="15">
      <c r="A1" s="426" t="s">
        <v>3</v>
      </c>
      <c r="B1" s="728" t="str">
        <f>Rekapitulace!K4</f>
        <v>Stavební úpravy, vestavba a přístavba stávajícího objektu</v>
      </c>
      <c r="C1" s="728"/>
      <c r="D1" s="728"/>
      <c r="E1" s="728"/>
      <c r="F1" s="728"/>
    </row>
    <row r="2" spans="4:6" ht="13.5">
      <c r="D2" s="53"/>
      <c r="E2" s="52"/>
      <c r="F2" s="52"/>
    </row>
    <row r="3" spans="1:7" s="54" customFormat="1" ht="29.25" customHeight="1">
      <c r="A3" s="304" t="s">
        <v>127</v>
      </c>
      <c r="B3" s="304"/>
      <c r="C3" s="560" t="str">
        <f>Rekapitulace!E24</f>
        <v>REV01</v>
      </c>
      <c r="D3" s="561">
        <f>Rekapitulace!H24</f>
        <v>45104</v>
      </c>
      <c r="E3" s="736" t="str">
        <f>Rekapitulace!K24</f>
        <v>Úprava popisů a položek ve vyznačených listech</v>
      </c>
      <c r="F3" s="737"/>
      <c r="G3" s="428"/>
    </row>
    <row r="4" spans="1:7" s="54" customFormat="1" ht="13.5">
      <c r="A4" s="729"/>
      <c r="B4" s="729"/>
      <c r="C4" s="729"/>
      <c r="D4" s="729"/>
      <c r="E4" s="729"/>
      <c r="F4" s="729"/>
      <c r="G4" s="428"/>
    </row>
    <row r="5" spans="1:7" s="51" customFormat="1" ht="15">
      <c r="A5" s="728" t="s">
        <v>544</v>
      </c>
      <c r="B5" s="728"/>
      <c r="C5" s="728"/>
      <c r="D5" s="728"/>
      <c r="E5" s="728"/>
      <c r="F5" s="728"/>
      <c r="G5" s="428"/>
    </row>
    <row r="6" spans="1:7" s="51" customFormat="1" ht="15.75" thickBot="1">
      <c r="A6" s="433"/>
      <c r="B6" s="434"/>
      <c r="C6" s="522"/>
      <c r="D6" s="55"/>
      <c r="E6" s="56"/>
      <c r="F6" s="56"/>
      <c r="G6" s="428"/>
    </row>
    <row r="7" spans="1:6" s="436" customFormat="1" ht="13.5" thickBot="1">
      <c r="A7" s="435" t="s">
        <v>11</v>
      </c>
      <c r="B7" s="730">
        <f>Rekapitulace!K11</f>
        <v>0</v>
      </c>
      <c r="C7" s="730"/>
      <c r="D7" s="730"/>
      <c r="E7" s="730"/>
      <c r="F7" s="731"/>
    </row>
    <row r="8" ht="13.5" thickBot="1"/>
    <row r="9" spans="1:6" ht="13.5" thickBot="1">
      <c r="A9" s="437"/>
      <c r="B9" s="438"/>
      <c r="C9" s="523"/>
      <c r="D9" s="66"/>
      <c r="E9" s="67"/>
      <c r="F9" s="67"/>
    </row>
    <row r="10" spans="1:6" ht="13.5" thickBot="1">
      <c r="A10" s="524" t="s">
        <v>145</v>
      </c>
      <c r="B10" s="525" t="s">
        <v>60</v>
      </c>
      <c r="C10" s="526" t="s">
        <v>61</v>
      </c>
      <c r="D10" s="68" t="s">
        <v>131</v>
      </c>
      <c r="E10" s="540" t="s">
        <v>146</v>
      </c>
      <c r="F10" s="69" t="s">
        <v>147</v>
      </c>
    </row>
    <row r="11" spans="1:6" s="530" customFormat="1" ht="12">
      <c r="A11" s="527" t="s">
        <v>148</v>
      </c>
      <c r="B11" s="528" t="s">
        <v>545</v>
      </c>
      <c r="C11" s="529"/>
      <c r="D11" s="212"/>
      <c r="E11" s="404"/>
      <c r="F11" s="213"/>
    </row>
    <row r="12" spans="1:6" s="530" customFormat="1" ht="12">
      <c r="A12" s="527" t="s">
        <v>153</v>
      </c>
      <c r="B12" s="528" t="s">
        <v>1544</v>
      </c>
      <c r="C12" s="529"/>
      <c r="D12" s="212"/>
      <c r="E12" s="404"/>
      <c r="F12" s="213"/>
    </row>
    <row r="13" spans="1:6" s="534" customFormat="1" ht="12">
      <c r="A13" s="531" t="s">
        <v>190</v>
      </c>
      <c r="B13" s="532" t="s">
        <v>2358</v>
      </c>
      <c r="C13" s="533" t="s">
        <v>69</v>
      </c>
      <c r="D13" s="70">
        <v>2</v>
      </c>
      <c r="E13" s="405"/>
      <c r="F13" s="71">
        <f>D13*E13</f>
        <v>0</v>
      </c>
    </row>
    <row r="14" spans="1:6" s="530" customFormat="1" ht="12">
      <c r="A14" s="527" t="s">
        <v>154</v>
      </c>
      <c r="B14" s="528" t="s">
        <v>1555</v>
      </c>
      <c r="C14" s="529"/>
      <c r="D14" s="212"/>
      <c r="E14" s="404"/>
      <c r="F14" s="213"/>
    </row>
    <row r="15" spans="1:6" s="534" customFormat="1" ht="12">
      <c r="A15" s="531" t="s">
        <v>191</v>
      </c>
      <c r="B15" s="532" t="s">
        <v>1554</v>
      </c>
      <c r="C15" s="533" t="s">
        <v>69</v>
      </c>
      <c r="D15" s="70">
        <v>2</v>
      </c>
      <c r="E15" s="405"/>
      <c r="F15" s="71">
        <f aca="true" t="shared" si="0" ref="F15:F20">D15*E15</f>
        <v>0</v>
      </c>
    </row>
    <row r="16" spans="1:6" s="534" customFormat="1" ht="12">
      <c r="A16" s="531" t="s">
        <v>1549</v>
      </c>
      <c r="B16" s="535" t="s">
        <v>1556</v>
      </c>
      <c r="C16" s="533" t="s">
        <v>69</v>
      </c>
      <c r="D16" s="72">
        <v>2</v>
      </c>
      <c r="E16" s="405"/>
      <c r="F16" s="71">
        <f t="shared" si="0"/>
        <v>0</v>
      </c>
    </row>
    <row r="17" spans="1:6" s="534" customFormat="1" ht="12">
      <c r="A17" s="531" t="s">
        <v>1550</v>
      </c>
      <c r="B17" s="535" t="s">
        <v>1557</v>
      </c>
      <c r="C17" s="533" t="s">
        <v>69</v>
      </c>
      <c r="D17" s="70">
        <v>2</v>
      </c>
      <c r="E17" s="405"/>
      <c r="F17" s="71">
        <f t="shared" si="0"/>
        <v>0</v>
      </c>
    </row>
    <row r="18" spans="1:6" s="534" customFormat="1" ht="12">
      <c r="A18" s="531" t="s">
        <v>1551</v>
      </c>
      <c r="B18" s="535" t="s">
        <v>1558</v>
      </c>
      <c r="C18" s="533" t="s">
        <v>69</v>
      </c>
      <c r="D18" s="70">
        <v>2</v>
      </c>
      <c r="E18" s="405"/>
      <c r="F18" s="71">
        <f t="shared" si="0"/>
        <v>0</v>
      </c>
    </row>
    <row r="19" spans="1:6" s="534" customFormat="1" ht="12">
      <c r="A19" s="531" t="s">
        <v>1552</v>
      </c>
      <c r="B19" s="535" t="s">
        <v>1559</v>
      </c>
      <c r="C19" s="533" t="s">
        <v>69</v>
      </c>
      <c r="D19" s="70">
        <v>2</v>
      </c>
      <c r="E19" s="405"/>
      <c r="F19" s="71">
        <f t="shared" si="0"/>
        <v>0</v>
      </c>
    </row>
    <row r="20" spans="1:6" s="534" customFormat="1" ht="12">
      <c r="A20" s="531" t="s">
        <v>1553</v>
      </c>
      <c r="B20" s="535" t="s">
        <v>1560</v>
      </c>
      <c r="C20" s="533" t="s">
        <v>69</v>
      </c>
      <c r="D20" s="70">
        <v>1</v>
      </c>
      <c r="E20" s="405"/>
      <c r="F20" s="71">
        <f t="shared" si="0"/>
        <v>0</v>
      </c>
    </row>
    <row r="21" spans="1:6" s="530" customFormat="1" ht="12">
      <c r="A21" s="527" t="s">
        <v>155</v>
      </c>
      <c r="B21" s="528" t="s">
        <v>1564</v>
      </c>
      <c r="C21" s="529"/>
      <c r="D21" s="212"/>
      <c r="E21" s="404"/>
      <c r="F21" s="213"/>
    </row>
    <row r="22" spans="1:6" s="534" customFormat="1" ht="12">
      <c r="A22" s="531" t="s">
        <v>240</v>
      </c>
      <c r="B22" s="535" t="s">
        <v>1561</v>
      </c>
      <c r="C22" s="533" t="s">
        <v>69</v>
      </c>
      <c r="D22" s="70">
        <v>1</v>
      </c>
      <c r="E22" s="405"/>
      <c r="F22" s="71">
        <f>D22*E22</f>
        <v>0</v>
      </c>
    </row>
    <row r="23" spans="1:6" s="534" customFormat="1" ht="12">
      <c r="A23" s="531" t="s">
        <v>241</v>
      </c>
      <c r="B23" s="535" t="s">
        <v>1562</v>
      </c>
      <c r="C23" s="533" t="s">
        <v>69</v>
      </c>
      <c r="D23" s="70">
        <v>1</v>
      </c>
      <c r="E23" s="405"/>
      <c r="F23" s="71">
        <f>D23*E23</f>
        <v>0</v>
      </c>
    </row>
    <row r="24" spans="1:6" s="534" customFormat="1" ht="12">
      <c r="A24" s="531" t="s">
        <v>242</v>
      </c>
      <c r="B24" s="535" t="s">
        <v>1563</v>
      </c>
      <c r="C24" s="533" t="s">
        <v>69</v>
      </c>
      <c r="D24" s="70">
        <v>2</v>
      </c>
      <c r="E24" s="405"/>
      <c r="F24" s="71">
        <f>D24*E24</f>
        <v>0</v>
      </c>
    </row>
    <row r="25" spans="1:6" s="530" customFormat="1" ht="12">
      <c r="A25" s="527" t="s">
        <v>156</v>
      </c>
      <c r="B25" s="528" t="s">
        <v>1565</v>
      </c>
      <c r="C25" s="529"/>
      <c r="D25" s="212"/>
      <c r="E25" s="404"/>
      <c r="F25" s="213"/>
    </row>
    <row r="26" spans="1:6" s="534" customFormat="1" ht="12">
      <c r="A26" s="531" t="s">
        <v>1545</v>
      </c>
      <c r="B26" s="562" t="s">
        <v>2420</v>
      </c>
      <c r="C26" s="533" t="s">
        <v>69</v>
      </c>
      <c r="D26" s="70">
        <v>2</v>
      </c>
      <c r="E26" s="405"/>
      <c r="F26" s="71">
        <f>D26*E26</f>
        <v>0</v>
      </c>
    </row>
    <row r="27" spans="1:6" s="534" customFormat="1" ht="12">
      <c r="A27" s="531" t="s">
        <v>1546</v>
      </c>
      <c r="B27" s="535" t="s">
        <v>546</v>
      </c>
      <c r="C27" s="533" t="s">
        <v>69</v>
      </c>
      <c r="D27" s="70">
        <v>2</v>
      </c>
      <c r="E27" s="405"/>
      <c r="F27" s="71">
        <f>D27*E27</f>
        <v>0</v>
      </c>
    </row>
    <row r="28" spans="1:6" s="534" customFormat="1" ht="12">
      <c r="A28" s="531" t="s">
        <v>1547</v>
      </c>
      <c r="B28" s="535" t="s">
        <v>1566</v>
      </c>
      <c r="C28" s="533" t="s">
        <v>69</v>
      </c>
      <c r="D28" s="70">
        <v>2</v>
      </c>
      <c r="E28" s="405"/>
      <c r="F28" s="71">
        <f>D28*E28</f>
        <v>0</v>
      </c>
    </row>
    <row r="29" spans="1:6" s="534" customFormat="1" ht="12">
      <c r="A29" s="531" t="s">
        <v>1548</v>
      </c>
      <c r="B29" s="535" t="s">
        <v>1567</v>
      </c>
      <c r="C29" s="533" t="s">
        <v>69</v>
      </c>
      <c r="D29" s="70">
        <v>2</v>
      </c>
      <c r="E29" s="405"/>
      <c r="F29" s="71">
        <f>D29*E29</f>
        <v>0</v>
      </c>
    </row>
    <row r="30" spans="1:6" s="534" customFormat="1" ht="12">
      <c r="A30" s="531" t="s">
        <v>1548</v>
      </c>
      <c r="B30" s="535" t="s">
        <v>1568</v>
      </c>
      <c r="C30" s="533" t="s">
        <v>69</v>
      </c>
      <c r="D30" s="70">
        <v>4</v>
      </c>
      <c r="E30" s="405"/>
      <c r="F30" s="71">
        <f>D30*E30</f>
        <v>0</v>
      </c>
    </row>
    <row r="31" spans="1:6" s="530" customFormat="1" ht="12">
      <c r="A31" s="527" t="s">
        <v>157</v>
      </c>
      <c r="B31" s="528" t="s">
        <v>1572</v>
      </c>
      <c r="C31" s="529"/>
      <c r="D31" s="212"/>
      <c r="E31" s="404"/>
      <c r="F31" s="213"/>
    </row>
    <row r="32" spans="1:6" s="534" customFormat="1" ht="24">
      <c r="A32" s="531" t="s">
        <v>1569</v>
      </c>
      <c r="B32" s="535" t="s">
        <v>1575</v>
      </c>
      <c r="C32" s="533" t="s">
        <v>69</v>
      </c>
      <c r="D32" s="70">
        <v>1</v>
      </c>
      <c r="E32" s="405"/>
      <c r="F32" s="71">
        <f>D32*E32</f>
        <v>0</v>
      </c>
    </row>
    <row r="33" spans="1:6" s="534" customFormat="1" ht="12">
      <c r="A33" s="531" t="s">
        <v>1570</v>
      </c>
      <c r="B33" s="535" t="s">
        <v>1573</v>
      </c>
      <c r="C33" s="533" t="s">
        <v>69</v>
      </c>
      <c r="D33" s="70">
        <v>1</v>
      </c>
      <c r="E33" s="405"/>
      <c r="F33" s="71">
        <f>D33*E33</f>
        <v>0</v>
      </c>
    </row>
    <row r="34" spans="1:6" s="534" customFormat="1" ht="12">
      <c r="A34" s="531" t="s">
        <v>1571</v>
      </c>
      <c r="B34" s="535" t="s">
        <v>1574</v>
      </c>
      <c r="C34" s="533" t="s">
        <v>69</v>
      </c>
      <c r="D34" s="70">
        <v>1</v>
      </c>
      <c r="E34" s="405"/>
      <c r="F34" s="71">
        <f>D34*E34</f>
        <v>0</v>
      </c>
    </row>
    <row r="35" spans="1:6" s="530" customFormat="1" ht="12">
      <c r="A35" s="527" t="s">
        <v>150</v>
      </c>
      <c r="B35" s="528" t="s">
        <v>547</v>
      </c>
      <c r="C35" s="529"/>
      <c r="D35" s="212"/>
      <c r="E35" s="404"/>
      <c r="F35" s="213"/>
    </row>
    <row r="36" spans="1:6" s="530" customFormat="1" ht="12">
      <c r="A36" s="527" t="s">
        <v>215</v>
      </c>
      <c r="B36" s="528" t="s">
        <v>1576</v>
      </c>
      <c r="C36" s="529"/>
      <c r="D36" s="212"/>
      <c r="E36" s="404"/>
      <c r="F36" s="213"/>
    </row>
    <row r="37" spans="1:6" s="534" customFormat="1" ht="12">
      <c r="A37" s="531" t="s">
        <v>548</v>
      </c>
      <c r="B37" s="535" t="s">
        <v>1577</v>
      </c>
      <c r="C37" s="533" t="s">
        <v>69</v>
      </c>
      <c r="D37" s="70">
        <v>1</v>
      </c>
      <c r="E37" s="405"/>
      <c r="F37" s="71">
        <f>D37*E37</f>
        <v>0</v>
      </c>
    </row>
    <row r="38" spans="1:6" s="534" customFormat="1" ht="12">
      <c r="A38" s="531" t="s">
        <v>549</v>
      </c>
      <c r="B38" s="535" t="s">
        <v>316</v>
      </c>
      <c r="C38" s="533" t="s">
        <v>69</v>
      </c>
      <c r="D38" s="70">
        <v>1</v>
      </c>
      <c r="E38" s="405"/>
      <c r="F38" s="71">
        <f>D38*E38</f>
        <v>0</v>
      </c>
    </row>
    <row r="39" spans="1:6" s="530" customFormat="1" ht="12">
      <c r="A39" s="527" t="s">
        <v>151</v>
      </c>
      <c r="B39" s="528" t="s">
        <v>550</v>
      </c>
      <c r="C39" s="529"/>
      <c r="D39" s="212"/>
      <c r="E39" s="404"/>
      <c r="F39" s="213"/>
    </row>
    <row r="40" spans="1:6" s="530" customFormat="1" ht="12">
      <c r="A40" s="527" t="s">
        <v>221</v>
      </c>
      <c r="B40" s="528" t="s">
        <v>551</v>
      </c>
      <c r="C40" s="529"/>
      <c r="D40" s="212"/>
      <c r="E40" s="404"/>
      <c r="F40" s="213"/>
    </row>
    <row r="41" spans="1:6" s="534" customFormat="1" ht="12">
      <c r="A41" s="531" t="s">
        <v>321</v>
      </c>
      <c r="B41" s="535" t="s">
        <v>552</v>
      </c>
      <c r="C41" s="533" t="s">
        <v>69</v>
      </c>
      <c r="D41" s="70">
        <v>1</v>
      </c>
      <c r="E41" s="405"/>
      <c r="F41" s="71">
        <f>D41*E41</f>
        <v>0</v>
      </c>
    </row>
    <row r="42" spans="1:6" s="534" customFormat="1" ht="12">
      <c r="A42" s="531" t="s">
        <v>322</v>
      </c>
      <c r="B42" s="535" t="s">
        <v>553</v>
      </c>
      <c r="C42" s="533" t="s">
        <v>69</v>
      </c>
      <c r="D42" s="70">
        <v>2</v>
      </c>
      <c r="E42" s="405"/>
      <c r="F42" s="71">
        <f>D42*E42</f>
        <v>0</v>
      </c>
    </row>
    <row r="43" spans="1:6" s="534" customFormat="1" ht="12">
      <c r="A43" s="531" t="s">
        <v>323</v>
      </c>
      <c r="B43" s="535" t="s">
        <v>554</v>
      </c>
      <c r="C43" s="533" t="s">
        <v>69</v>
      </c>
      <c r="D43" s="70">
        <v>1</v>
      </c>
      <c r="E43" s="405"/>
      <c r="F43" s="71">
        <f>D43*E43</f>
        <v>0</v>
      </c>
    </row>
    <row r="44" spans="1:6" s="530" customFormat="1" ht="12">
      <c r="A44" s="527" t="s">
        <v>180</v>
      </c>
      <c r="B44" s="528" t="s">
        <v>1578</v>
      </c>
      <c r="C44" s="529"/>
      <c r="D44" s="212"/>
      <c r="E44" s="404"/>
      <c r="F44" s="213"/>
    </row>
    <row r="45" spans="1:6" s="534" customFormat="1" ht="12">
      <c r="A45" s="531" t="s">
        <v>222</v>
      </c>
      <c r="B45" s="535" t="s">
        <v>1579</v>
      </c>
      <c r="C45" s="533" t="s">
        <v>69</v>
      </c>
      <c r="D45" s="70">
        <v>1</v>
      </c>
      <c r="E45" s="405"/>
      <c r="F45" s="71">
        <f>D45*E45</f>
        <v>0</v>
      </c>
    </row>
    <row r="46" spans="1:6" s="530" customFormat="1" ht="12">
      <c r="A46" s="527" t="s">
        <v>181</v>
      </c>
      <c r="B46" s="528" t="s">
        <v>556</v>
      </c>
      <c r="C46" s="529"/>
      <c r="D46" s="212"/>
      <c r="E46" s="404"/>
      <c r="F46" s="213"/>
    </row>
    <row r="47" spans="1:6" s="530" customFormat="1" ht="12">
      <c r="A47" s="527" t="s">
        <v>230</v>
      </c>
      <c r="B47" s="528" t="s">
        <v>1580</v>
      </c>
      <c r="C47" s="529"/>
      <c r="D47" s="212"/>
      <c r="E47" s="404"/>
      <c r="F47" s="213"/>
    </row>
    <row r="48" spans="1:6" s="534" customFormat="1" ht="12">
      <c r="A48" s="531" t="s">
        <v>555</v>
      </c>
      <c r="B48" s="535" t="s">
        <v>1581</v>
      </c>
      <c r="C48" s="533" t="s">
        <v>69</v>
      </c>
      <c r="D48" s="70">
        <v>1</v>
      </c>
      <c r="E48" s="405"/>
      <c r="F48" s="71">
        <f>D48*E48</f>
        <v>0</v>
      </c>
    </row>
    <row r="49" spans="1:6" s="530" customFormat="1" ht="12">
      <c r="A49" s="527" t="s">
        <v>231</v>
      </c>
      <c r="B49" s="528" t="s">
        <v>1585</v>
      </c>
      <c r="C49" s="529"/>
      <c r="D49" s="212"/>
      <c r="E49" s="404"/>
      <c r="F49" s="213"/>
    </row>
    <row r="50" spans="1:6" s="534" customFormat="1" ht="12">
      <c r="A50" s="531" t="s">
        <v>1582</v>
      </c>
      <c r="B50" s="535" t="s">
        <v>1586</v>
      </c>
      <c r="C50" s="533" t="s">
        <v>69</v>
      </c>
      <c r="D50" s="70">
        <v>1</v>
      </c>
      <c r="E50" s="405"/>
      <c r="F50" s="71">
        <f>D50*E50</f>
        <v>0</v>
      </c>
    </row>
    <row r="51" spans="1:6" s="530" customFormat="1" ht="12">
      <c r="A51" s="527" t="s">
        <v>1583</v>
      </c>
      <c r="B51" s="528" t="s">
        <v>1580</v>
      </c>
      <c r="C51" s="529"/>
      <c r="D51" s="212"/>
      <c r="E51" s="404"/>
      <c r="F51" s="213"/>
    </row>
    <row r="52" spans="1:6" s="534" customFormat="1" ht="12">
      <c r="A52" s="531" t="s">
        <v>1584</v>
      </c>
      <c r="B52" s="535" t="s">
        <v>557</v>
      </c>
      <c r="C52" s="533" t="s">
        <v>69</v>
      </c>
      <c r="D52" s="70">
        <v>4</v>
      </c>
      <c r="E52" s="405"/>
      <c r="F52" s="71">
        <f>D52*E52</f>
        <v>0</v>
      </c>
    </row>
    <row r="53" spans="1:6" s="534" customFormat="1" ht="12">
      <c r="A53" s="531" t="s">
        <v>1587</v>
      </c>
      <c r="B53" s="535" t="s">
        <v>1588</v>
      </c>
      <c r="C53" s="533" t="s">
        <v>69</v>
      </c>
      <c r="D53" s="70">
        <v>1</v>
      </c>
      <c r="E53" s="405"/>
      <c r="F53" s="71">
        <f>D53*E53</f>
        <v>0</v>
      </c>
    </row>
    <row r="54" spans="1:6" s="530" customFormat="1" ht="12">
      <c r="A54" s="527" t="s">
        <v>182</v>
      </c>
      <c r="B54" s="528" t="s">
        <v>1591</v>
      </c>
      <c r="C54" s="529"/>
      <c r="D54" s="212"/>
      <c r="E54" s="404"/>
      <c r="F54" s="213"/>
    </row>
    <row r="55" spans="1:6" s="530" customFormat="1" ht="12">
      <c r="A55" s="527" t="s">
        <v>232</v>
      </c>
      <c r="B55" s="528" t="s">
        <v>1592</v>
      </c>
      <c r="C55" s="529"/>
      <c r="D55" s="212"/>
      <c r="E55" s="404"/>
      <c r="F55" s="213"/>
    </row>
    <row r="56" spans="1:6" s="534" customFormat="1" ht="12">
      <c r="A56" s="531" t="s">
        <v>1589</v>
      </c>
      <c r="B56" s="535" t="s">
        <v>1593</v>
      </c>
      <c r="C56" s="533" t="s">
        <v>69</v>
      </c>
      <c r="D56" s="70">
        <v>1</v>
      </c>
      <c r="E56" s="405"/>
      <c r="F56" s="71">
        <f>D56*E56</f>
        <v>0</v>
      </c>
    </row>
    <row r="57" spans="1:6" s="534" customFormat="1" ht="12">
      <c r="A57" s="531" t="s">
        <v>1590</v>
      </c>
      <c r="B57" s="535" t="s">
        <v>1594</v>
      </c>
      <c r="C57" s="533" t="s">
        <v>69</v>
      </c>
      <c r="D57" s="70">
        <v>1</v>
      </c>
      <c r="E57" s="405"/>
      <c r="F57" s="71">
        <f>D57*E57</f>
        <v>0</v>
      </c>
    </row>
    <row r="58" spans="1:6" s="530" customFormat="1" ht="12">
      <c r="A58" s="527" t="s">
        <v>183</v>
      </c>
      <c r="B58" s="528" t="s">
        <v>1595</v>
      </c>
      <c r="C58" s="529"/>
      <c r="D58" s="212"/>
      <c r="E58" s="404"/>
      <c r="F58" s="213"/>
    </row>
    <row r="59" spans="1:6" s="530" customFormat="1" ht="12">
      <c r="A59" s="527" t="s">
        <v>235</v>
      </c>
      <c r="B59" s="528" t="s">
        <v>1596</v>
      </c>
      <c r="C59" s="529"/>
      <c r="D59" s="212"/>
      <c r="E59" s="404"/>
      <c r="F59" s="213"/>
    </row>
    <row r="60" spans="1:6" s="534" customFormat="1" ht="12">
      <c r="A60" s="531" t="s">
        <v>563</v>
      </c>
      <c r="B60" s="535" t="s">
        <v>1597</v>
      </c>
      <c r="C60" s="533" t="s">
        <v>69</v>
      </c>
      <c r="D60" s="70">
        <v>1</v>
      </c>
      <c r="E60" s="405"/>
      <c r="F60" s="71">
        <f>D60*E60</f>
        <v>0</v>
      </c>
    </row>
    <row r="61" spans="1:6" s="530" customFormat="1" ht="12">
      <c r="A61" s="527" t="s">
        <v>184</v>
      </c>
      <c r="B61" s="528" t="s">
        <v>1600</v>
      </c>
      <c r="C61" s="529"/>
      <c r="D61" s="212"/>
      <c r="E61" s="404"/>
      <c r="F61" s="213"/>
    </row>
    <row r="62" spans="1:6" s="530" customFormat="1" ht="12">
      <c r="A62" s="527" t="s">
        <v>237</v>
      </c>
      <c r="B62" s="528" t="s">
        <v>1600</v>
      </c>
      <c r="C62" s="529"/>
      <c r="D62" s="212"/>
      <c r="E62" s="404"/>
      <c r="F62" s="213"/>
    </row>
    <row r="63" spans="1:6" s="534" customFormat="1" ht="12">
      <c r="A63" s="531" t="s">
        <v>1598</v>
      </c>
      <c r="B63" s="535" t="s">
        <v>1601</v>
      </c>
      <c r="C63" s="533" t="s">
        <v>69</v>
      </c>
      <c r="D63" s="70">
        <v>1</v>
      </c>
      <c r="E63" s="405"/>
      <c r="F63" s="71">
        <f>D63*E63</f>
        <v>0</v>
      </c>
    </row>
    <row r="64" spans="1:6" s="534" customFormat="1" ht="12">
      <c r="A64" s="531" t="s">
        <v>1599</v>
      </c>
      <c r="B64" s="535" t="s">
        <v>1602</v>
      </c>
      <c r="C64" s="533" t="s">
        <v>69</v>
      </c>
      <c r="D64" s="70">
        <v>1</v>
      </c>
      <c r="E64" s="405"/>
      <c r="F64" s="71">
        <f>D64*E64</f>
        <v>0</v>
      </c>
    </row>
    <row r="65" spans="1:6" s="530" customFormat="1" ht="12">
      <c r="A65" s="527" t="s">
        <v>337</v>
      </c>
      <c r="B65" s="528" t="s">
        <v>562</v>
      </c>
      <c r="C65" s="529"/>
      <c r="D65" s="212"/>
      <c r="E65" s="404"/>
      <c r="F65" s="213"/>
    </row>
    <row r="66" spans="1:6" s="534" customFormat="1" ht="12">
      <c r="A66" s="531" t="s">
        <v>338</v>
      </c>
      <c r="B66" s="535" t="s">
        <v>558</v>
      </c>
      <c r="C66" s="533" t="s">
        <v>70</v>
      </c>
      <c r="D66" s="70">
        <v>320</v>
      </c>
      <c r="E66" s="405"/>
      <c r="F66" s="71">
        <f aca="true" t="shared" si="1" ref="F66:F71">D66*E66</f>
        <v>0</v>
      </c>
    </row>
    <row r="67" spans="1:6" s="534" customFormat="1" ht="12">
      <c r="A67" s="531" t="s">
        <v>339</v>
      </c>
      <c r="B67" s="535" t="s">
        <v>559</v>
      </c>
      <c r="C67" s="533" t="s">
        <v>70</v>
      </c>
      <c r="D67" s="70">
        <v>83</v>
      </c>
      <c r="E67" s="405"/>
      <c r="F67" s="71">
        <f t="shared" si="1"/>
        <v>0</v>
      </c>
    </row>
    <row r="68" spans="1:6" s="534" customFormat="1" ht="12">
      <c r="A68" s="531" t="s">
        <v>340</v>
      </c>
      <c r="B68" s="535" t="s">
        <v>560</v>
      </c>
      <c r="C68" s="533" t="s">
        <v>70</v>
      </c>
      <c r="D68" s="70">
        <v>65</v>
      </c>
      <c r="E68" s="405"/>
      <c r="F68" s="71">
        <f t="shared" si="1"/>
        <v>0</v>
      </c>
    </row>
    <row r="69" spans="1:6" s="534" customFormat="1" ht="12">
      <c r="A69" s="531" t="s">
        <v>341</v>
      </c>
      <c r="B69" s="535" t="s">
        <v>561</v>
      </c>
      <c r="C69" s="533" t="s">
        <v>70</v>
      </c>
      <c r="D69" s="70">
        <v>52</v>
      </c>
      <c r="E69" s="405"/>
      <c r="F69" s="71">
        <f t="shared" si="1"/>
        <v>0</v>
      </c>
    </row>
    <row r="70" spans="1:6" s="534" customFormat="1" ht="12">
      <c r="A70" s="531" t="s">
        <v>342</v>
      </c>
      <c r="B70" s="535" t="s">
        <v>1603</v>
      </c>
      <c r="C70" s="533" t="s">
        <v>70</v>
      </c>
      <c r="D70" s="70">
        <v>60</v>
      </c>
      <c r="E70" s="405"/>
      <c r="F70" s="71">
        <f t="shared" si="1"/>
        <v>0</v>
      </c>
    </row>
    <row r="71" spans="1:6" s="534" customFormat="1" ht="12">
      <c r="A71" s="531" t="s">
        <v>565</v>
      </c>
      <c r="B71" s="535" t="s">
        <v>1604</v>
      </c>
      <c r="C71" s="533" t="s">
        <v>70</v>
      </c>
      <c r="D71" s="70">
        <v>10</v>
      </c>
      <c r="E71" s="405"/>
      <c r="F71" s="71">
        <f t="shared" si="1"/>
        <v>0</v>
      </c>
    </row>
    <row r="72" spans="1:6" s="530" customFormat="1" ht="12">
      <c r="A72" s="527" t="s">
        <v>344</v>
      </c>
      <c r="B72" s="528" t="s">
        <v>317</v>
      </c>
      <c r="C72" s="529"/>
      <c r="D72" s="212"/>
      <c r="E72" s="404"/>
      <c r="F72" s="213"/>
    </row>
    <row r="73" spans="1:6" s="530" customFormat="1" ht="12">
      <c r="A73" s="527" t="s">
        <v>345</v>
      </c>
      <c r="B73" s="528" t="s">
        <v>318</v>
      </c>
      <c r="C73" s="529"/>
      <c r="D73" s="212"/>
      <c r="E73" s="404"/>
      <c r="F73" s="213"/>
    </row>
    <row r="74" spans="1:6" s="534" customFormat="1" ht="12">
      <c r="A74" s="531" t="s">
        <v>1605</v>
      </c>
      <c r="B74" s="535" t="s">
        <v>319</v>
      </c>
      <c r="C74" s="533" t="s">
        <v>70</v>
      </c>
      <c r="D74" s="70">
        <v>282</v>
      </c>
      <c r="E74" s="405"/>
      <c r="F74" s="71">
        <f aca="true" t="shared" si="2" ref="F74:F80">D74*E74</f>
        <v>0</v>
      </c>
    </row>
    <row r="75" spans="1:6" s="534" customFormat="1" ht="12">
      <c r="A75" s="531" t="s">
        <v>1606</v>
      </c>
      <c r="B75" s="535" t="s">
        <v>320</v>
      </c>
      <c r="C75" s="533" t="s">
        <v>70</v>
      </c>
      <c r="D75" s="70">
        <v>54</v>
      </c>
      <c r="E75" s="405"/>
      <c r="F75" s="71">
        <f t="shared" si="2"/>
        <v>0</v>
      </c>
    </row>
    <row r="76" spans="1:6" s="534" customFormat="1" ht="12">
      <c r="A76" s="531" t="s">
        <v>1607</v>
      </c>
      <c r="B76" s="535" t="s">
        <v>1610</v>
      </c>
      <c r="C76" s="533" t="s">
        <v>70</v>
      </c>
      <c r="D76" s="70">
        <v>22</v>
      </c>
      <c r="E76" s="405"/>
      <c r="F76" s="71">
        <f t="shared" si="2"/>
        <v>0</v>
      </c>
    </row>
    <row r="77" spans="1:6" s="534" customFormat="1" ht="12">
      <c r="A77" s="531" t="s">
        <v>1608</v>
      </c>
      <c r="B77" s="535" t="s">
        <v>1611</v>
      </c>
      <c r="C77" s="533" t="s">
        <v>70</v>
      </c>
      <c r="D77" s="70">
        <v>46</v>
      </c>
      <c r="E77" s="405"/>
      <c r="F77" s="71">
        <f t="shared" si="2"/>
        <v>0</v>
      </c>
    </row>
    <row r="78" spans="1:6" s="534" customFormat="1" ht="12">
      <c r="A78" s="531" t="s">
        <v>1609</v>
      </c>
      <c r="B78" s="535" t="s">
        <v>1612</v>
      </c>
      <c r="C78" s="533" t="s">
        <v>70</v>
      </c>
      <c r="D78" s="70">
        <v>8</v>
      </c>
      <c r="E78" s="405"/>
      <c r="F78" s="71">
        <f t="shared" si="2"/>
        <v>0</v>
      </c>
    </row>
    <row r="79" spans="1:6" s="534" customFormat="1" ht="12">
      <c r="A79" s="531" t="s">
        <v>1613</v>
      </c>
      <c r="B79" s="535" t="s">
        <v>1615</v>
      </c>
      <c r="C79" s="533" t="s">
        <v>69</v>
      </c>
      <c r="D79" s="70">
        <v>6</v>
      </c>
      <c r="E79" s="405"/>
      <c r="F79" s="71">
        <f t="shared" si="2"/>
        <v>0</v>
      </c>
    </row>
    <row r="80" spans="1:6" s="534" customFormat="1" ht="12">
      <c r="A80" s="531" t="s">
        <v>1614</v>
      </c>
      <c r="B80" s="535" t="s">
        <v>1616</v>
      </c>
      <c r="C80" s="533" t="s">
        <v>69</v>
      </c>
      <c r="D80" s="70">
        <v>3</v>
      </c>
      <c r="E80" s="405"/>
      <c r="F80" s="71">
        <f t="shared" si="2"/>
        <v>0</v>
      </c>
    </row>
    <row r="81" spans="1:6" s="530" customFormat="1" ht="12">
      <c r="A81" s="527" t="s">
        <v>566</v>
      </c>
      <c r="B81" s="528" t="s">
        <v>324</v>
      </c>
      <c r="C81" s="529"/>
      <c r="D81" s="212"/>
      <c r="E81" s="404"/>
      <c r="F81" s="213"/>
    </row>
    <row r="82" spans="1:6" s="534" customFormat="1" ht="12">
      <c r="A82" s="531" t="s">
        <v>1619</v>
      </c>
      <c r="B82" s="535" t="s">
        <v>1617</v>
      </c>
      <c r="C82" s="533" t="s">
        <v>70</v>
      </c>
      <c r="D82" s="70">
        <v>4</v>
      </c>
      <c r="E82" s="405"/>
      <c r="F82" s="71">
        <f>D82*E82</f>
        <v>0</v>
      </c>
    </row>
    <row r="83" spans="1:6" s="534" customFormat="1" ht="12">
      <c r="A83" s="531" t="s">
        <v>1620</v>
      </c>
      <c r="B83" s="535" t="s">
        <v>325</v>
      </c>
      <c r="C83" s="533" t="s">
        <v>70</v>
      </c>
      <c r="D83" s="70">
        <v>14</v>
      </c>
      <c r="E83" s="405"/>
      <c r="F83" s="71">
        <f>D83*E83</f>
        <v>0</v>
      </c>
    </row>
    <row r="84" spans="1:6" s="534" customFormat="1" ht="12">
      <c r="A84" s="531" t="s">
        <v>1621</v>
      </c>
      <c r="B84" s="535" t="s">
        <v>326</v>
      </c>
      <c r="C84" s="533" t="s">
        <v>70</v>
      </c>
      <c r="D84" s="70">
        <v>10</v>
      </c>
      <c r="E84" s="405"/>
      <c r="F84" s="71">
        <f>D84*E84</f>
        <v>0</v>
      </c>
    </row>
    <row r="85" spans="1:6" s="534" customFormat="1" ht="12">
      <c r="A85" s="531" t="s">
        <v>1622</v>
      </c>
      <c r="B85" s="535" t="s">
        <v>1618</v>
      </c>
      <c r="C85" s="533" t="s">
        <v>70</v>
      </c>
      <c r="D85" s="70">
        <v>4</v>
      </c>
      <c r="E85" s="405"/>
      <c r="F85" s="71">
        <f>D85*E85</f>
        <v>0</v>
      </c>
    </row>
    <row r="86" spans="1:6" s="534" customFormat="1" ht="12">
      <c r="A86" s="531" t="s">
        <v>1623</v>
      </c>
      <c r="B86" s="535" t="s">
        <v>327</v>
      </c>
      <c r="C86" s="533" t="s">
        <v>69</v>
      </c>
      <c r="D86" s="70">
        <v>1</v>
      </c>
      <c r="E86" s="405"/>
      <c r="F86" s="71">
        <f>D86*E86</f>
        <v>0</v>
      </c>
    </row>
    <row r="87" spans="1:6" s="530" customFormat="1" ht="12">
      <c r="A87" s="527" t="s">
        <v>348</v>
      </c>
      <c r="B87" s="528" t="s">
        <v>328</v>
      </c>
      <c r="C87" s="529"/>
      <c r="D87" s="212"/>
      <c r="E87" s="404"/>
      <c r="F87" s="213"/>
    </row>
    <row r="88" spans="1:6" s="534" customFormat="1" ht="12">
      <c r="A88" s="531" t="s">
        <v>349</v>
      </c>
      <c r="B88" s="535" t="s">
        <v>1630</v>
      </c>
      <c r="C88" s="533" t="s">
        <v>69</v>
      </c>
      <c r="D88" s="70">
        <v>10</v>
      </c>
      <c r="E88" s="405"/>
      <c r="F88" s="71">
        <f aca="true" t="shared" si="3" ref="F88:F98">D88*E88</f>
        <v>0</v>
      </c>
    </row>
    <row r="89" spans="1:6" s="534" customFormat="1" ht="12">
      <c r="A89" s="531" t="s">
        <v>350</v>
      </c>
      <c r="B89" s="535" t="s">
        <v>1631</v>
      </c>
      <c r="C89" s="533" t="s">
        <v>69</v>
      </c>
      <c r="D89" s="70">
        <v>10</v>
      </c>
      <c r="E89" s="405"/>
      <c r="F89" s="71">
        <f t="shared" si="3"/>
        <v>0</v>
      </c>
    </row>
    <row r="90" spans="1:6" s="534" customFormat="1" ht="12">
      <c r="A90" s="531" t="s">
        <v>1624</v>
      </c>
      <c r="B90" s="535" t="s">
        <v>1632</v>
      </c>
      <c r="C90" s="533" t="s">
        <v>69</v>
      </c>
      <c r="D90" s="70">
        <v>20</v>
      </c>
      <c r="E90" s="405"/>
      <c r="F90" s="71">
        <f t="shared" si="3"/>
        <v>0</v>
      </c>
    </row>
    <row r="91" spans="1:6" s="534" customFormat="1" ht="12">
      <c r="A91" s="531" t="s">
        <v>1625</v>
      </c>
      <c r="B91" s="535" t="s">
        <v>1627</v>
      </c>
      <c r="C91" s="533" t="s">
        <v>69</v>
      </c>
      <c r="D91" s="70">
        <v>50</v>
      </c>
      <c r="E91" s="405"/>
      <c r="F91" s="71">
        <f t="shared" si="3"/>
        <v>0</v>
      </c>
    </row>
    <row r="92" spans="1:6" s="534" customFormat="1" ht="12">
      <c r="A92" s="531" t="s">
        <v>1626</v>
      </c>
      <c r="B92" s="535" t="s">
        <v>564</v>
      </c>
      <c r="C92" s="533" t="s">
        <v>69</v>
      </c>
      <c r="D92" s="70">
        <v>20</v>
      </c>
      <c r="E92" s="405"/>
      <c r="F92" s="71">
        <f t="shared" si="3"/>
        <v>0</v>
      </c>
    </row>
    <row r="93" spans="1:6" s="534" customFormat="1" ht="12">
      <c r="A93" s="531" t="s">
        <v>1633</v>
      </c>
      <c r="B93" s="535" t="s">
        <v>329</v>
      </c>
      <c r="C93" s="533" t="s">
        <v>69</v>
      </c>
      <c r="D93" s="70">
        <v>20</v>
      </c>
      <c r="E93" s="405"/>
      <c r="F93" s="71">
        <f t="shared" si="3"/>
        <v>0</v>
      </c>
    </row>
    <row r="94" spans="1:6" s="534" customFormat="1" ht="12">
      <c r="A94" s="531" t="s">
        <v>1634</v>
      </c>
      <c r="B94" s="535" t="s">
        <v>330</v>
      </c>
      <c r="C94" s="533" t="s">
        <v>69</v>
      </c>
      <c r="D94" s="70">
        <v>20</v>
      </c>
      <c r="E94" s="405"/>
      <c r="F94" s="71">
        <f t="shared" si="3"/>
        <v>0</v>
      </c>
    </row>
    <row r="95" spans="1:6" s="534" customFormat="1" ht="12">
      <c r="A95" s="531" t="s">
        <v>1635</v>
      </c>
      <c r="B95" s="535" t="s">
        <v>1628</v>
      </c>
      <c r="C95" s="533" t="s">
        <v>69</v>
      </c>
      <c r="D95" s="70">
        <v>30</v>
      </c>
      <c r="E95" s="405"/>
      <c r="F95" s="71">
        <f t="shared" si="3"/>
        <v>0</v>
      </c>
    </row>
    <row r="96" spans="1:6" s="534" customFormat="1" ht="12">
      <c r="A96" s="531" t="s">
        <v>1636</v>
      </c>
      <c r="B96" s="535" t="s">
        <v>1629</v>
      </c>
      <c r="C96" s="533" t="s">
        <v>69</v>
      </c>
      <c r="D96" s="70">
        <v>10</v>
      </c>
      <c r="E96" s="405"/>
      <c r="F96" s="71">
        <f t="shared" si="3"/>
        <v>0</v>
      </c>
    </row>
    <row r="97" spans="1:6" s="534" customFormat="1" ht="12">
      <c r="A97" s="531" t="s">
        <v>1637</v>
      </c>
      <c r="B97" s="535" t="s">
        <v>331</v>
      </c>
      <c r="C97" s="533" t="s">
        <v>69</v>
      </c>
      <c r="D97" s="70">
        <v>150</v>
      </c>
      <c r="E97" s="405"/>
      <c r="F97" s="71">
        <f t="shared" si="3"/>
        <v>0</v>
      </c>
    </row>
    <row r="98" spans="1:6" s="534" customFormat="1" ht="12">
      <c r="A98" s="531" t="s">
        <v>1638</v>
      </c>
      <c r="B98" s="535" t="s">
        <v>290</v>
      </c>
      <c r="C98" s="533" t="s">
        <v>69</v>
      </c>
      <c r="D98" s="70">
        <v>150</v>
      </c>
      <c r="E98" s="405"/>
      <c r="F98" s="71">
        <f t="shared" si="3"/>
        <v>0</v>
      </c>
    </row>
    <row r="99" spans="1:6" s="530" customFormat="1" ht="12">
      <c r="A99" s="527" t="s">
        <v>569</v>
      </c>
      <c r="B99" s="528" t="s">
        <v>2359</v>
      </c>
      <c r="C99" s="529"/>
      <c r="D99" s="212"/>
      <c r="E99" s="404"/>
      <c r="F99" s="213"/>
    </row>
    <row r="100" spans="1:6" s="534" customFormat="1" ht="12">
      <c r="A100" s="531" t="s">
        <v>570</v>
      </c>
      <c r="B100" s="535" t="s">
        <v>2421</v>
      </c>
      <c r="C100" s="533" t="s">
        <v>69</v>
      </c>
      <c r="D100" s="70">
        <v>3</v>
      </c>
      <c r="E100" s="405"/>
      <c r="F100" s="71">
        <f>D100*E100</f>
        <v>0</v>
      </c>
    </row>
    <row r="101" spans="1:6" s="534" customFormat="1" ht="12">
      <c r="A101" s="531" t="s">
        <v>571</v>
      </c>
      <c r="B101" s="535" t="s">
        <v>2422</v>
      </c>
      <c r="C101" s="533" t="s">
        <v>69</v>
      </c>
      <c r="D101" s="70">
        <v>1</v>
      </c>
      <c r="E101" s="405"/>
      <c r="F101" s="71">
        <f>D101*E101</f>
        <v>0</v>
      </c>
    </row>
    <row r="102" spans="1:6" s="534" customFormat="1" ht="12">
      <c r="A102" s="531" t="s">
        <v>572</v>
      </c>
      <c r="B102" s="535" t="s">
        <v>2423</v>
      </c>
      <c r="C102" s="533" t="s">
        <v>69</v>
      </c>
      <c r="D102" s="70">
        <v>1</v>
      </c>
      <c r="E102" s="405"/>
      <c r="F102" s="71">
        <f>D102*E102</f>
        <v>0</v>
      </c>
    </row>
    <row r="103" spans="1:6" s="534" customFormat="1" ht="12">
      <c r="A103" s="531" t="s">
        <v>573</v>
      </c>
      <c r="B103" s="535" t="s">
        <v>2424</v>
      </c>
      <c r="C103" s="533" t="s">
        <v>69</v>
      </c>
      <c r="D103" s="70">
        <v>1</v>
      </c>
      <c r="E103" s="405"/>
      <c r="F103" s="71">
        <f>D103*E103</f>
        <v>0</v>
      </c>
    </row>
    <row r="104" spans="1:6" s="534" customFormat="1" ht="12">
      <c r="A104" s="531" t="s">
        <v>574</v>
      </c>
      <c r="B104" s="535" t="s">
        <v>2425</v>
      </c>
      <c r="C104" s="533" t="s">
        <v>69</v>
      </c>
      <c r="D104" s="70">
        <v>2</v>
      </c>
      <c r="E104" s="405"/>
      <c r="F104" s="71">
        <f aca="true" t="shared" si="4" ref="F104:F125">D104*E104</f>
        <v>0</v>
      </c>
    </row>
    <row r="105" spans="1:6" s="534" customFormat="1" ht="12">
      <c r="A105" s="531" t="s">
        <v>575</v>
      </c>
      <c r="B105" s="535" t="s">
        <v>2426</v>
      </c>
      <c r="C105" s="533" t="s">
        <v>69</v>
      </c>
      <c r="D105" s="70">
        <v>1</v>
      </c>
      <c r="E105" s="405"/>
      <c r="F105" s="71">
        <f t="shared" si="4"/>
        <v>0</v>
      </c>
    </row>
    <row r="106" spans="1:6" s="534" customFormat="1" ht="12">
      <c r="A106" s="531" t="s">
        <v>576</v>
      </c>
      <c r="B106" s="535" t="s">
        <v>2427</v>
      </c>
      <c r="C106" s="533" t="s">
        <v>69</v>
      </c>
      <c r="D106" s="70">
        <v>1</v>
      </c>
      <c r="E106" s="405"/>
      <c r="F106" s="71">
        <f t="shared" si="4"/>
        <v>0</v>
      </c>
    </row>
    <row r="107" spans="1:6" s="534" customFormat="1" ht="12">
      <c r="A107" s="531" t="s">
        <v>577</v>
      </c>
      <c r="B107" s="535" t="s">
        <v>2428</v>
      </c>
      <c r="C107" s="533" t="s">
        <v>69</v>
      </c>
      <c r="D107" s="70">
        <v>1</v>
      </c>
      <c r="E107" s="405"/>
      <c r="F107" s="71">
        <f t="shared" si="4"/>
        <v>0</v>
      </c>
    </row>
    <row r="108" spans="1:6" s="534" customFormat="1" ht="12">
      <c r="A108" s="531" t="s">
        <v>1639</v>
      </c>
      <c r="B108" s="535" t="s">
        <v>2429</v>
      </c>
      <c r="C108" s="533" t="s">
        <v>69</v>
      </c>
      <c r="D108" s="70">
        <v>1</v>
      </c>
      <c r="E108" s="405"/>
      <c r="F108" s="71">
        <f t="shared" si="4"/>
        <v>0</v>
      </c>
    </row>
    <row r="109" spans="1:6" s="534" customFormat="1" ht="12">
      <c r="A109" s="531" t="s">
        <v>1640</v>
      </c>
      <c r="B109" s="535" t="s">
        <v>2430</v>
      </c>
      <c r="C109" s="533" t="s">
        <v>69</v>
      </c>
      <c r="D109" s="70">
        <v>1</v>
      </c>
      <c r="E109" s="405"/>
      <c r="F109" s="71">
        <f t="shared" si="4"/>
        <v>0</v>
      </c>
    </row>
    <row r="110" spans="1:6" s="534" customFormat="1" ht="12">
      <c r="A110" s="531" t="s">
        <v>1641</v>
      </c>
      <c r="B110" s="535" t="s">
        <v>2431</v>
      </c>
      <c r="C110" s="533" t="s">
        <v>69</v>
      </c>
      <c r="D110" s="70">
        <v>1</v>
      </c>
      <c r="E110" s="405"/>
      <c r="F110" s="71">
        <f t="shared" si="4"/>
        <v>0</v>
      </c>
    </row>
    <row r="111" spans="1:6" s="534" customFormat="1" ht="12">
      <c r="A111" s="531" t="s">
        <v>1642</v>
      </c>
      <c r="B111" s="535" t="s">
        <v>2432</v>
      </c>
      <c r="C111" s="533" t="s">
        <v>69</v>
      </c>
      <c r="D111" s="70">
        <v>2</v>
      </c>
      <c r="E111" s="405"/>
      <c r="F111" s="71">
        <f t="shared" si="4"/>
        <v>0</v>
      </c>
    </row>
    <row r="112" spans="1:6" s="534" customFormat="1" ht="12">
      <c r="A112" s="531" t="s">
        <v>1643</v>
      </c>
      <c r="B112" s="535" t="s">
        <v>2433</v>
      </c>
      <c r="C112" s="533" t="s">
        <v>69</v>
      </c>
      <c r="D112" s="70">
        <v>2</v>
      </c>
      <c r="E112" s="405"/>
      <c r="F112" s="71">
        <f t="shared" si="4"/>
        <v>0</v>
      </c>
    </row>
    <row r="113" spans="1:6" s="534" customFormat="1" ht="12">
      <c r="A113" s="531" t="s">
        <v>1644</v>
      </c>
      <c r="B113" s="535" t="s">
        <v>2434</v>
      </c>
      <c r="C113" s="533" t="s">
        <v>69</v>
      </c>
      <c r="D113" s="70">
        <v>1</v>
      </c>
      <c r="E113" s="405"/>
      <c r="F113" s="71">
        <f t="shared" si="4"/>
        <v>0</v>
      </c>
    </row>
    <row r="114" spans="1:6" s="534" customFormat="1" ht="12">
      <c r="A114" s="531" t="s">
        <v>1645</v>
      </c>
      <c r="B114" s="535" t="s">
        <v>2435</v>
      </c>
      <c r="C114" s="533" t="s">
        <v>69</v>
      </c>
      <c r="D114" s="70">
        <v>2</v>
      </c>
      <c r="E114" s="405"/>
      <c r="F114" s="71">
        <f t="shared" si="4"/>
        <v>0</v>
      </c>
    </row>
    <row r="115" spans="1:6" s="534" customFormat="1" ht="12">
      <c r="A115" s="531" t="s">
        <v>1646</v>
      </c>
      <c r="B115" s="535" t="s">
        <v>2436</v>
      </c>
      <c r="C115" s="533" t="s">
        <v>69</v>
      </c>
      <c r="D115" s="70">
        <v>2</v>
      </c>
      <c r="E115" s="405"/>
      <c r="F115" s="71">
        <f t="shared" si="4"/>
        <v>0</v>
      </c>
    </row>
    <row r="116" spans="1:6" s="534" customFormat="1" ht="12">
      <c r="A116" s="531" t="s">
        <v>1647</v>
      </c>
      <c r="B116" s="535" t="s">
        <v>2437</v>
      </c>
      <c r="C116" s="533" t="s">
        <v>69</v>
      </c>
      <c r="D116" s="70">
        <v>1</v>
      </c>
      <c r="E116" s="405"/>
      <c r="F116" s="71">
        <f t="shared" si="4"/>
        <v>0</v>
      </c>
    </row>
    <row r="117" spans="1:6" s="534" customFormat="1" ht="12">
      <c r="A117" s="531" t="s">
        <v>1648</v>
      </c>
      <c r="B117" s="535" t="s">
        <v>2438</v>
      </c>
      <c r="C117" s="533" t="s">
        <v>69</v>
      </c>
      <c r="D117" s="70">
        <v>1</v>
      </c>
      <c r="E117" s="405"/>
      <c r="F117" s="71">
        <f t="shared" si="4"/>
        <v>0</v>
      </c>
    </row>
    <row r="118" spans="1:6" s="534" customFormat="1" ht="12">
      <c r="A118" s="531" t="s">
        <v>1649</v>
      </c>
      <c r="B118" s="535" t="s">
        <v>2439</v>
      </c>
      <c r="C118" s="533" t="s">
        <v>69</v>
      </c>
      <c r="D118" s="70">
        <v>2</v>
      </c>
      <c r="E118" s="405"/>
      <c r="F118" s="71">
        <f t="shared" si="4"/>
        <v>0</v>
      </c>
    </row>
    <row r="119" spans="1:6" s="534" customFormat="1" ht="12">
      <c r="A119" s="531" t="s">
        <v>1650</v>
      </c>
      <c r="B119" s="535" t="s">
        <v>2440</v>
      </c>
      <c r="C119" s="533" t="s">
        <v>69</v>
      </c>
      <c r="D119" s="70">
        <v>1</v>
      </c>
      <c r="E119" s="405"/>
      <c r="F119" s="71">
        <f t="shared" si="4"/>
        <v>0</v>
      </c>
    </row>
    <row r="120" spans="1:6" s="534" customFormat="1" ht="12">
      <c r="A120" s="531" t="s">
        <v>1651</v>
      </c>
      <c r="B120" s="535" t="s">
        <v>2441</v>
      </c>
      <c r="C120" s="533" t="s">
        <v>69</v>
      </c>
      <c r="D120" s="70">
        <v>2</v>
      </c>
      <c r="E120" s="405"/>
      <c r="F120" s="71">
        <f t="shared" si="4"/>
        <v>0</v>
      </c>
    </row>
    <row r="121" spans="1:6" s="534" customFormat="1" ht="12">
      <c r="A121" s="531" t="s">
        <v>1652</v>
      </c>
      <c r="B121" s="535" t="s">
        <v>2442</v>
      </c>
      <c r="C121" s="533" t="s">
        <v>69</v>
      </c>
      <c r="D121" s="70">
        <v>1</v>
      </c>
      <c r="E121" s="405"/>
      <c r="F121" s="71">
        <f t="shared" si="4"/>
        <v>0</v>
      </c>
    </row>
    <row r="122" spans="1:6" s="534" customFormat="1" ht="12">
      <c r="A122" s="531" t="s">
        <v>1653</v>
      </c>
      <c r="B122" s="535" t="s">
        <v>2443</v>
      </c>
      <c r="C122" s="533" t="s">
        <v>69</v>
      </c>
      <c r="D122" s="70">
        <v>1</v>
      </c>
      <c r="E122" s="405"/>
      <c r="F122" s="71">
        <f t="shared" si="4"/>
        <v>0</v>
      </c>
    </row>
    <row r="123" spans="1:6" s="534" customFormat="1" ht="12">
      <c r="A123" s="531" t="s">
        <v>1654</v>
      </c>
      <c r="B123" s="535" t="s">
        <v>2444</v>
      </c>
      <c r="C123" s="533" t="s">
        <v>69</v>
      </c>
      <c r="D123" s="70">
        <v>1</v>
      </c>
      <c r="E123" s="405"/>
      <c r="F123" s="71">
        <f t="shared" si="4"/>
        <v>0</v>
      </c>
    </row>
    <row r="124" spans="1:6" s="534" customFormat="1" ht="12">
      <c r="A124" s="531" t="s">
        <v>1655</v>
      </c>
      <c r="B124" s="535" t="s">
        <v>2445</v>
      </c>
      <c r="C124" s="533" t="s">
        <v>69</v>
      </c>
      <c r="D124" s="70">
        <v>2</v>
      </c>
      <c r="E124" s="405"/>
      <c r="F124" s="71">
        <f t="shared" si="4"/>
        <v>0</v>
      </c>
    </row>
    <row r="125" spans="1:6" s="534" customFormat="1" ht="12">
      <c r="A125" s="531" t="s">
        <v>1656</v>
      </c>
      <c r="B125" s="535" t="s">
        <v>2446</v>
      </c>
      <c r="C125" s="533" t="s">
        <v>69</v>
      </c>
      <c r="D125" s="70">
        <v>2</v>
      </c>
      <c r="E125" s="405"/>
      <c r="F125" s="71">
        <f t="shared" si="4"/>
        <v>0</v>
      </c>
    </row>
    <row r="126" spans="1:6" s="534" customFormat="1" ht="12">
      <c r="A126" s="531" t="s">
        <v>1657</v>
      </c>
      <c r="B126" s="535" t="s">
        <v>2447</v>
      </c>
      <c r="C126" s="533" t="s">
        <v>69</v>
      </c>
      <c r="D126" s="70">
        <v>2</v>
      </c>
      <c r="E126" s="405"/>
      <c r="F126" s="71">
        <f aca="true" t="shared" si="5" ref="F126:F131">D126*E126</f>
        <v>0</v>
      </c>
    </row>
    <row r="127" spans="1:6" s="534" customFormat="1" ht="12">
      <c r="A127" s="531" t="s">
        <v>1658</v>
      </c>
      <c r="B127" s="535" t="s">
        <v>2448</v>
      </c>
      <c r="C127" s="533" t="s">
        <v>69</v>
      </c>
      <c r="D127" s="70">
        <v>1</v>
      </c>
      <c r="E127" s="405"/>
      <c r="F127" s="71">
        <f t="shared" si="5"/>
        <v>0</v>
      </c>
    </row>
    <row r="128" spans="1:6" s="534" customFormat="1" ht="12">
      <c r="A128" s="531" t="s">
        <v>1659</v>
      </c>
      <c r="B128" s="535" t="s">
        <v>2449</v>
      </c>
      <c r="C128" s="533" t="s">
        <v>69</v>
      </c>
      <c r="D128" s="70">
        <v>2</v>
      </c>
      <c r="E128" s="405"/>
      <c r="F128" s="71">
        <f t="shared" si="5"/>
        <v>0</v>
      </c>
    </row>
    <row r="129" spans="1:6" s="534" customFormat="1" ht="12">
      <c r="A129" s="531" t="s">
        <v>1660</v>
      </c>
      <c r="B129" s="535" t="s">
        <v>2450</v>
      </c>
      <c r="C129" s="533" t="s">
        <v>69</v>
      </c>
      <c r="D129" s="70">
        <v>2</v>
      </c>
      <c r="E129" s="405"/>
      <c r="F129" s="71">
        <f t="shared" si="5"/>
        <v>0</v>
      </c>
    </row>
    <row r="130" spans="1:6" s="534" customFormat="1" ht="12">
      <c r="A130" s="531" t="s">
        <v>1661</v>
      </c>
      <c r="B130" s="535" t="s">
        <v>2451</v>
      </c>
      <c r="C130" s="533" t="s">
        <v>69</v>
      </c>
      <c r="D130" s="70">
        <v>1</v>
      </c>
      <c r="E130" s="405"/>
      <c r="F130" s="71">
        <f t="shared" si="5"/>
        <v>0</v>
      </c>
    </row>
    <row r="131" spans="1:6" s="534" customFormat="1" ht="12">
      <c r="A131" s="531" t="s">
        <v>1662</v>
      </c>
      <c r="B131" s="535" t="s">
        <v>2452</v>
      </c>
      <c r="C131" s="533" t="s">
        <v>69</v>
      </c>
      <c r="D131" s="70">
        <v>1</v>
      </c>
      <c r="E131" s="405"/>
      <c r="F131" s="71">
        <f t="shared" si="5"/>
        <v>0</v>
      </c>
    </row>
    <row r="132" spans="1:6" s="530" customFormat="1" ht="12">
      <c r="A132" s="527" t="s">
        <v>578</v>
      </c>
      <c r="B132" s="528" t="s">
        <v>1663</v>
      </c>
      <c r="C132" s="529"/>
      <c r="D132" s="212"/>
      <c r="E132" s="404"/>
      <c r="F132" s="213"/>
    </row>
    <row r="133" spans="1:6" s="534" customFormat="1" ht="12">
      <c r="A133" s="531" t="s">
        <v>579</v>
      </c>
      <c r="B133" s="535" t="s">
        <v>1664</v>
      </c>
      <c r="C133" s="533" t="s">
        <v>69</v>
      </c>
      <c r="D133" s="70">
        <v>46</v>
      </c>
      <c r="E133" s="405"/>
      <c r="F133" s="71">
        <f>D133*E133</f>
        <v>0</v>
      </c>
    </row>
    <row r="134" spans="1:6" s="534" customFormat="1" ht="12">
      <c r="A134" s="531" t="s">
        <v>1667</v>
      </c>
      <c r="B134" s="535" t="s">
        <v>1665</v>
      </c>
      <c r="C134" s="533" t="s">
        <v>69</v>
      </c>
      <c r="D134" s="70">
        <v>46</v>
      </c>
      <c r="E134" s="405"/>
      <c r="F134" s="71">
        <f>D134*E134</f>
        <v>0</v>
      </c>
    </row>
    <row r="135" spans="1:6" s="534" customFormat="1" ht="12">
      <c r="A135" s="531" t="s">
        <v>1668</v>
      </c>
      <c r="B135" s="535" t="s">
        <v>1666</v>
      </c>
      <c r="C135" s="533" t="s">
        <v>69</v>
      </c>
      <c r="D135" s="70">
        <v>46</v>
      </c>
      <c r="E135" s="405"/>
      <c r="F135" s="71">
        <f>D135*E135</f>
        <v>0</v>
      </c>
    </row>
    <row r="136" spans="1:6" s="530" customFormat="1" ht="12">
      <c r="A136" s="527" t="s">
        <v>583</v>
      </c>
      <c r="B136" s="536" t="s">
        <v>332</v>
      </c>
      <c r="C136" s="529"/>
      <c r="D136" s="212"/>
      <c r="E136" s="404"/>
      <c r="F136" s="213"/>
    </row>
    <row r="137" spans="1:6" s="530" customFormat="1" ht="12">
      <c r="A137" s="527" t="s">
        <v>584</v>
      </c>
      <c r="B137" s="528" t="s">
        <v>333</v>
      </c>
      <c r="C137" s="529"/>
      <c r="D137" s="212"/>
      <c r="E137" s="404"/>
      <c r="F137" s="213"/>
    </row>
    <row r="138" spans="1:6" s="534" customFormat="1" ht="12">
      <c r="A138" s="531" t="s">
        <v>1671</v>
      </c>
      <c r="B138" s="535" t="s">
        <v>334</v>
      </c>
      <c r="C138" s="533" t="s">
        <v>69</v>
      </c>
      <c r="D138" s="70">
        <v>12</v>
      </c>
      <c r="E138" s="405"/>
      <c r="F138" s="71">
        <f aca="true" t="shared" si="6" ref="F138:F143">D138*E138</f>
        <v>0</v>
      </c>
    </row>
    <row r="139" spans="1:6" s="534" customFormat="1" ht="12">
      <c r="A139" s="531" t="s">
        <v>1679</v>
      </c>
      <c r="B139" s="535" t="s">
        <v>1669</v>
      </c>
      <c r="C139" s="533" t="s">
        <v>69</v>
      </c>
      <c r="D139" s="70">
        <v>10</v>
      </c>
      <c r="E139" s="405"/>
      <c r="F139" s="71">
        <f t="shared" si="6"/>
        <v>0</v>
      </c>
    </row>
    <row r="140" spans="1:6" s="534" customFormat="1" ht="12">
      <c r="A140" s="531" t="s">
        <v>1680</v>
      </c>
      <c r="B140" s="535" t="s">
        <v>1675</v>
      </c>
      <c r="C140" s="533" t="s">
        <v>69</v>
      </c>
      <c r="D140" s="70">
        <v>22</v>
      </c>
      <c r="E140" s="405"/>
      <c r="F140" s="71">
        <f t="shared" si="6"/>
        <v>0</v>
      </c>
    </row>
    <row r="141" spans="1:6" s="534" customFormat="1" ht="12">
      <c r="A141" s="531" t="s">
        <v>1681</v>
      </c>
      <c r="B141" s="535" t="s">
        <v>568</v>
      </c>
      <c r="C141" s="533" t="s">
        <v>69</v>
      </c>
      <c r="D141" s="70">
        <v>22</v>
      </c>
      <c r="E141" s="405"/>
      <c r="F141" s="71">
        <f t="shared" si="6"/>
        <v>0</v>
      </c>
    </row>
    <row r="142" spans="1:6" s="534" customFormat="1" ht="12">
      <c r="A142" s="531" t="s">
        <v>1682</v>
      </c>
      <c r="B142" s="535" t="s">
        <v>336</v>
      </c>
      <c r="C142" s="533" t="s">
        <v>69</v>
      </c>
      <c r="D142" s="70">
        <v>44</v>
      </c>
      <c r="E142" s="405"/>
      <c r="F142" s="71">
        <f t="shared" si="6"/>
        <v>0</v>
      </c>
    </row>
    <row r="143" spans="1:6" s="534" customFormat="1" ht="12">
      <c r="A143" s="531" t="s">
        <v>1683</v>
      </c>
      <c r="B143" s="535" t="s">
        <v>1670</v>
      </c>
      <c r="C143" s="533" t="s">
        <v>69</v>
      </c>
      <c r="D143" s="70">
        <v>1</v>
      </c>
      <c r="E143" s="405"/>
      <c r="F143" s="71">
        <f t="shared" si="6"/>
        <v>0</v>
      </c>
    </row>
    <row r="144" spans="1:6" s="530" customFormat="1" ht="12">
      <c r="A144" s="527" t="s">
        <v>1672</v>
      </c>
      <c r="B144" s="528" t="s">
        <v>1674</v>
      </c>
      <c r="C144" s="529"/>
      <c r="D144" s="212"/>
      <c r="E144" s="404"/>
      <c r="F144" s="213"/>
    </row>
    <row r="145" spans="1:6" s="534" customFormat="1" ht="12">
      <c r="A145" s="531" t="s">
        <v>1673</v>
      </c>
      <c r="B145" s="535" t="s">
        <v>334</v>
      </c>
      <c r="C145" s="533" t="s">
        <v>69</v>
      </c>
      <c r="D145" s="70">
        <v>7</v>
      </c>
      <c r="E145" s="405"/>
      <c r="F145" s="71">
        <f>D145*E145</f>
        <v>0</v>
      </c>
    </row>
    <row r="146" spans="1:6" s="534" customFormat="1" ht="12">
      <c r="A146" s="531" t="s">
        <v>1684</v>
      </c>
      <c r="B146" s="535" t="s">
        <v>1669</v>
      </c>
      <c r="C146" s="533" t="s">
        <v>69</v>
      </c>
      <c r="D146" s="70">
        <v>15</v>
      </c>
      <c r="E146" s="405"/>
      <c r="F146" s="71">
        <f>D146*E146</f>
        <v>0</v>
      </c>
    </row>
    <row r="147" spans="1:6" s="534" customFormat="1" ht="12">
      <c r="A147" s="531" t="s">
        <v>1685</v>
      </c>
      <c r="B147" s="535" t="s">
        <v>567</v>
      </c>
      <c r="C147" s="533" t="s">
        <v>69</v>
      </c>
      <c r="D147" s="70">
        <v>22</v>
      </c>
      <c r="E147" s="405"/>
      <c r="F147" s="71">
        <f>D147*E147</f>
        <v>0</v>
      </c>
    </row>
    <row r="148" spans="1:6" s="534" customFormat="1" ht="12">
      <c r="A148" s="531" t="s">
        <v>1686</v>
      </c>
      <c r="B148" s="535" t="s">
        <v>568</v>
      </c>
      <c r="C148" s="533" t="s">
        <v>69</v>
      </c>
      <c r="D148" s="70">
        <v>22</v>
      </c>
      <c r="E148" s="405"/>
      <c r="F148" s="71">
        <f>D148*E148</f>
        <v>0</v>
      </c>
    </row>
    <row r="149" spans="1:6" s="534" customFormat="1" ht="12">
      <c r="A149" s="531" t="s">
        <v>1687</v>
      </c>
      <c r="B149" s="535" t="s">
        <v>336</v>
      </c>
      <c r="C149" s="533" t="s">
        <v>69</v>
      </c>
      <c r="D149" s="70">
        <v>44</v>
      </c>
      <c r="E149" s="405"/>
      <c r="F149" s="71">
        <f>D149*E149</f>
        <v>0</v>
      </c>
    </row>
    <row r="150" spans="1:6" s="530" customFormat="1" ht="12">
      <c r="A150" s="527" t="s">
        <v>1676</v>
      </c>
      <c r="B150" s="528" t="s">
        <v>335</v>
      </c>
      <c r="C150" s="529"/>
      <c r="D150" s="212"/>
      <c r="E150" s="404"/>
      <c r="F150" s="213"/>
    </row>
    <row r="151" spans="1:6" s="534" customFormat="1" ht="24">
      <c r="A151" s="564" t="s">
        <v>1677</v>
      </c>
      <c r="B151" s="562" t="s">
        <v>2460</v>
      </c>
      <c r="C151" s="533" t="s">
        <v>69</v>
      </c>
      <c r="D151" s="70">
        <v>2</v>
      </c>
      <c r="E151" s="405"/>
      <c r="F151" s="71">
        <f>D151*E151</f>
        <v>0</v>
      </c>
    </row>
    <row r="152" spans="1:6" s="534" customFormat="1" ht="12">
      <c r="A152" s="564" t="s">
        <v>1678</v>
      </c>
      <c r="B152" s="535" t="s">
        <v>336</v>
      </c>
      <c r="C152" s="533" t="s">
        <v>69</v>
      </c>
      <c r="D152" s="70">
        <v>4</v>
      </c>
      <c r="E152" s="405"/>
      <c r="F152" s="71">
        <f>D152*E152</f>
        <v>0</v>
      </c>
    </row>
    <row r="153" spans="1:6" s="530" customFormat="1" ht="12">
      <c r="A153" s="527" t="s">
        <v>1688</v>
      </c>
      <c r="B153" s="528" t="s">
        <v>343</v>
      </c>
      <c r="C153" s="529"/>
      <c r="D153" s="212"/>
      <c r="E153" s="404"/>
      <c r="F153" s="213"/>
    </row>
    <row r="154" spans="1:6" s="534" customFormat="1" ht="12">
      <c r="A154" s="531" t="s">
        <v>1689</v>
      </c>
      <c r="B154" s="535" t="s">
        <v>294</v>
      </c>
      <c r="C154" s="533" t="s">
        <v>69</v>
      </c>
      <c r="D154" s="70">
        <v>4</v>
      </c>
      <c r="E154" s="405"/>
      <c r="F154" s="71">
        <f>D154*E154</f>
        <v>0</v>
      </c>
    </row>
    <row r="155" spans="1:6" s="534" customFormat="1" ht="12">
      <c r="A155" s="531" t="s">
        <v>1691</v>
      </c>
      <c r="B155" s="535" t="s">
        <v>1690</v>
      </c>
      <c r="C155" s="533" t="s">
        <v>69</v>
      </c>
      <c r="D155" s="70">
        <v>4</v>
      </c>
      <c r="E155" s="405"/>
      <c r="F155" s="71">
        <f aca="true" t="shared" si="7" ref="F155:F161">D155*E155</f>
        <v>0</v>
      </c>
    </row>
    <row r="156" spans="1:6" s="534" customFormat="1" ht="12">
      <c r="A156" s="531" t="s">
        <v>1692</v>
      </c>
      <c r="B156" s="535" t="s">
        <v>1698</v>
      </c>
      <c r="C156" s="533" t="s">
        <v>69</v>
      </c>
      <c r="D156" s="70">
        <v>1</v>
      </c>
      <c r="E156" s="405"/>
      <c r="F156" s="71">
        <f t="shared" si="7"/>
        <v>0</v>
      </c>
    </row>
    <row r="157" spans="1:6" s="534" customFormat="1" ht="12">
      <c r="A157" s="531" t="s">
        <v>1693</v>
      </c>
      <c r="B157" s="535" t="s">
        <v>1699</v>
      </c>
      <c r="C157" s="533" t="s">
        <v>69</v>
      </c>
      <c r="D157" s="70">
        <v>1</v>
      </c>
      <c r="E157" s="405"/>
      <c r="F157" s="71">
        <f t="shared" si="7"/>
        <v>0</v>
      </c>
    </row>
    <row r="158" spans="1:6" s="534" customFormat="1" ht="12">
      <c r="A158" s="531" t="s">
        <v>1694</v>
      </c>
      <c r="B158" s="535" t="s">
        <v>1700</v>
      </c>
      <c r="C158" s="533" t="s">
        <v>69</v>
      </c>
      <c r="D158" s="70">
        <v>2</v>
      </c>
      <c r="E158" s="405"/>
      <c r="F158" s="71">
        <f t="shared" si="7"/>
        <v>0</v>
      </c>
    </row>
    <row r="159" spans="1:6" s="534" customFormat="1" ht="12">
      <c r="A159" s="531" t="s">
        <v>1695</v>
      </c>
      <c r="B159" s="535" t="s">
        <v>295</v>
      </c>
      <c r="C159" s="533" t="s">
        <v>69</v>
      </c>
      <c r="D159" s="70">
        <v>10</v>
      </c>
      <c r="E159" s="405"/>
      <c r="F159" s="71">
        <f t="shared" si="7"/>
        <v>0</v>
      </c>
    </row>
    <row r="160" spans="1:6" s="534" customFormat="1" ht="12">
      <c r="A160" s="531" t="s">
        <v>1696</v>
      </c>
      <c r="B160" s="535" t="s">
        <v>1701</v>
      </c>
      <c r="C160" s="533" t="s">
        <v>69</v>
      </c>
      <c r="D160" s="70">
        <v>1</v>
      </c>
      <c r="E160" s="405"/>
      <c r="F160" s="71">
        <f t="shared" si="7"/>
        <v>0</v>
      </c>
    </row>
    <row r="161" spans="1:6" s="534" customFormat="1" ht="12">
      <c r="A161" s="531" t="s">
        <v>1697</v>
      </c>
      <c r="B161" s="535" t="s">
        <v>1702</v>
      </c>
      <c r="C161" s="533" t="s">
        <v>69</v>
      </c>
      <c r="D161" s="70">
        <v>4</v>
      </c>
      <c r="E161" s="405"/>
      <c r="F161" s="71">
        <f t="shared" si="7"/>
        <v>0</v>
      </c>
    </row>
    <row r="162" spans="1:6" s="530" customFormat="1" ht="12">
      <c r="A162" s="527" t="s">
        <v>1704</v>
      </c>
      <c r="B162" s="528" t="s">
        <v>346</v>
      </c>
      <c r="C162" s="529"/>
      <c r="D162" s="212"/>
      <c r="E162" s="404"/>
      <c r="F162" s="213"/>
    </row>
    <row r="163" spans="1:6" s="534" customFormat="1" ht="12">
      <c r="A163" s="531" t="s">
        <v>1705</v>
      </c>
      <c r="B163" s="535" t="s">
        <v>347</v>
      </c>
      <c r="C163" s="533" t="s">
        <v>69</v>
      </c>
      <c r="D163" s="70">
        <v>2</v>
      </c>
      <c r="E163" s="405"/>
      <c r="F163" s="71">
        <f>D163*E163</f>
        <v>0</v>
      </c>
    </row>
    <row r="164" spans="1:6" s="534" customFormat="1" ht="12">
      <c r="A164" s="531" t="s">
        <v>1706</v>
      </c>
      <c r="B164" s="535" t="s">
        <v>1703</v>
      </c>
      <c r="C164" s="533" t="s">
        <v>69</v>
      </c>
      <c r="D164" s="70">
        <v>4</v>
      </c>
      <c r="E164" s="405"/>
      <c r="F164" s="71">
        <f>D164*E164</f>
        <v>0</v>
      </c>
    </row>
    <row r="165" spans="1:6" s="530" customFormat="1" ht="12">
      <c r="A165" s="527" t="s">
        <v>1711</v>
      </c>
      <c r="B165" s="536" t="s">
        <v>1710</v>
      </c>
      <c r="C165" s="529"/>
      <c r="D165" s="212"/>
      <c r="E165" s="404"/>
      <c r="F165" s="213"/>
    </row>
    <row r="166" spans="1:6" s="530" customFormat="1" ht="12">
      <c r="A166" s="527" t="s">
        <v>1712</v>
      </c>
      <c r="B166" s="528" t="s">
        <v>1716</v>
      </c>
      <c r="C166" s="529"/>
      <c r="D166" s="212"/>
      <c r="E166" s="404"/>
      <c r="F166" s="213"/>
    </row>
    <row r="167" spans="1:6" s="534" customFormat="1" ht="12">
      <c r="A167" s="531" t="s">
        <v>1713</v>
      </c>
      <c r="B167" s="535" t="s">
        <v>1717</v>
      </c>
      <c r="C167" s="533" t="s">
        <v>70</v>
      </c>
      <c r="D167" s="70">
        <v>600</v>
      </c>
      <c r="E167" s="405"/>
      <c r="F167" s="71">
        <f>D167*E167</f>
        <v>0</v>
      </c>
    </row>
    <row r="168" spans="1:6" s="534" customFormat="1" ht="12">
      <c r="A168" s="531" t="s">
        <v>1720</v>
      </c>
      <c r="B168" s="535" t="s">
        <v>1718</v>
      </c>
      <c r="C168" s="533" t="s">
        <v>70</v>
      </c>
      <c r="D168" s="70">
        <v>10</v>
      </c>
      <c r="E168" s="405"/>
      <c r="F168" s="71">
        <f>D168*E168</f>
        <v>0</v>
      </c>
    </row>
    <row r="169" spans="1:6" s="534" customFormat="1" ht="12">
      <c r="A169" s="531" t="s">
        <v>1721</v>
      </c>
      <c r="B169" s="535" t="s">
        <v>1719</v>
      </c>
      <c r="C169" s="533" t="s">
        <v>70</v>
      </c>
      <c r="D169" s="70">
        <v>100</v>
      </c>
      <c r="E169" s="405"/>
      <c r="F169" s="71">
        <f>D169*E169</f>
        <v>0</v>
      </c>
    </row>
    <row r="170" spans="1:6" s="530" customFormat="1" ht="12">
      <c r="A170" s="527" t="s">
        <v>1714</v>
      </c>
      <c r="B170" s="528" t="s">
        <v>1722</v>
      </c>
      <c r="C170" s="529"/>
      <c r="D170" s="212"/>
      <c r="E170" s="404"/>
      <c r="F170" s="213"/>
    </row>
    <row r="171" spans="1:6" s="534" customFormat="1" ht="12">
      <c r="A171" s="531" t="s">
        <v>1715</v>
      </c>
      <c r="B171" s="535" t="s">
        <v>2453</v>
      </c>
      <c r="C171" s="533" t="s">
        <v>65</v>
      </c>
      <c r="D171" s="70">
        <v>130</v>
      </c>
      <c r="E171" s="405"/>
      <c r="F171" s="71">
        <f>D171*E171</f>
        <v>0</v>
      </c>
    </row>
    <row r="172" spans="1:6" s="530" customFormat="1" ht="12">
      <c r="A172" s="527" t="s">
        <v>1723</v>
      </c>
      <c r="B172" s="528" t="s">
        <v>1722</v>
      </c>
      <c r="C172" s="529"/>
      <c r="D172" s="212"/>
      <c r="E172" s="404"/>
      <c r="F172" s="213"/>
    </row>
    <row r="173" spans="1:6" s="534" customFormat="1" ht="12">
      <c r="A173" s="531" t="s">
        <v>1724</v>
      </c>
      <c r="B173" s="535" t="s">
        <v>1725</v>
      </c>
      <c r="C173" s="533" t="s">
        <v>733</v>
      </c>
      <c r="D173" s="70">
        <v>30</v>
      </c>
      <c r="E173" s="405"/>
      <c r="F173" s="71">
        <f>D173*E173</f>
        <v>0</v>
      </c>
    </row>
    <row r="174" spans="1:6" s="530" customFormat="1" ht="12">
      <c r="A174" s="527" t="s">
        <v>1726</v>
      </c>
      <c r="B174" s="528" t="s">
        <v>1716</v>
      </c>
      <c r="C174" s="529"/>
      <c r="D174" s="212"/>
      <c r="E174" s="404"/>
      <c r="F174" s="213"/>
    </row>
    <row r="175" spans="1:6" s="534" customFormat="1" ht="24">
      <c r="A175" s="531" t="s">
        <v>1727</v>
      </c>
      <c r="B175" s="535" t="s">
        <v>1730</v>
      </c>
      <c r="C175" s="533" t="s">
        <v>69</v>
      </c>
      <c r="D175" s="70">
        <v>1</v>
      </c>
      <c r="E175" s="405"/>
      <c r="F175" s="71">
        <f>D175*E175</f>
        <v>0</v>
      </c>
    </row>
    <row r="176" spans="1:6" s="534" customFormat="1" ht="12">
      <c r="A176" s="531" t="s">
        <v>1728</v>
      </c>
      <c r="B176" s="535" t="s">
        <v>1731</v>
      </c>
      <c r="C176" s="533" t="s">
        <v>69</v>
      </c>
      <c r="D176" s="70">
        <v>1</v>
      </c>
      <c r="E176" s="405"/>
      <c r="F176" s="71">
        <f>D176*E176</f>
        <v>0</v>
      </c>
    </row>
    <row r="177" spans="1:6" s="534" customFormat="1" ht="12">
      <c r="A177" s="531" t="s">
        <v>1729</v>
      </c>
      <c r="B177" s="535" t="s">
        <v>1732</v>
      </c>
      <c r="C177" s="533" t="s">
        <v>69</v>
      </c>
      <c r="D177" s="70">
        <v>16</v>
      </c>
      <c r="E177" s="405"/>
      <c r="F177" s="71">
        <f>D177*E177</f>
        <v>0</v>
      </c>
    </row>
    <row r="178" spans="1:6" s="530" customFormat="1" ht="12">
      <c r="A178" s="527" t="s">
        <v>1733</v>
      </c>
      <c r="B178" s="528" t="s">
        <v>1716</v>
      </c>
      <c r="C178" s="529"/>
      <c r="D178" s="212"/>
      <c r="E178" s="404"/>
      <c r="F178" s="213"/>
    </row>
    <row r="179" spans="1:6" s="534" customFormat="1" ht="24">
      <c r="A179" s="531" t="s">
        <v>1734</v>
      </c>
      <c r="B179" s="535" t="s">
        <v>1737</v>
      </c>
      <c r="C179" s="533" t="s">
        <v>69</v>
      </c>
      <c r="D179" s="70">
        <v>7</v>
      </c>
      <c r="E179" s="405"/>
      <c r="F179" s="71">
        <f>D179*E179</f>
        <v>0</v>
      </c>
    </row>
    <row r="180" spans="1:6" s="534" customFormat="1" ht="12">
      <c r="A180" s="531" t="s">
        <v>1735</v>
      </c>
      <c r="B180" s="535" t="s">
        <v>1738</v>
      </c>
      <c r="C180" s="533" t="s">
        <v>69</v>
      </c>
      <c r="D180" s="70">
        <v>1</v>
      </c>
      <c r="E180" s="405"/>
      <c r="F180" s="71">
        <f>D180*E180</f>
        <v>0</v>
      </c>
    </row>
    <row r="181" spans="1:6" s="534" customFormat="1" ht="12">
      <c r="A181" s="531" t="s">
        <v>1736</v>
      </c>
      <c r="B181" s="535" t="s">
        <v>1739</v>
      </c>
      <c r="C181" s="533" t="s">
        <v>69</v>
      </c>
      <c r="D181" s="70">
        <v>7</v>
      </c>
      <c r="E181" s="405"/>
      <c r="F181" s="71">
        <f>D181*E181</f>
        <v>0</v>
      </c>
    </row>
    <row r="182" spans="1:6" s="530" customFormat="1" ht="12">
      <c r="A182" s="527" t="s">
        <v>1537</v>
      </c>
      <c r="B182" s="528" t="s">
        <v>1529</v>
      </c>
      <c r="C182" s="529"/>
      <c r="D182" s="212"/>
      <c r="E182" s="404"/>
      <c r="F182" s="213"/>
    </row>
    <row r="183" spans="1:6" s="534" customFormat="1" ht="12">
      <c r="A183" s="531" t="s">
        <v>1707</v>
      </c>
      <c r="B183" s="535" t="s">
        <v>591</v>
      </c>
      <c r="C183" s="533" t="s">
        <v>72</v>
      </c>
      <c r="D183" s="70">
        <f aca="true" t="shared" si="8" ref="D183:D188">F66</f>
        <v>0</v>
      </c>
      <c r="E183" s="406"/>
      <c r="F183" s="71">
        <f aca="true" t="shared" si="9" ref="F183:F193">D183*E183</f>
        <v>0</v>
      </c>
    </row>
    <row r="184" spans="1:6" s="534" customFormat="1" ht="12">
      <c r="A184" s="531" t="s">
        <v>584</v>
      </c>
      <c r="B184" s="535" t="s">
        <v>592</v>
      </c>
      <c r="C184" s="533" t="s">
        <v>72</v>
      </c>
      <c r="D184" s="70">
        <f t="shared" si="8"/>
        <v>0</v>
      </c>
      <c r="E184" s="406"/>
      <c r="F184" s="71">
        <f t="shared" si="9"/>
        <v>0</v>
      </c>
    </row>
    <row r="185" spans="1:6" s="534" customFormat="1" ht="12">
      <c r="A185" s="531" t="s">
        <v>584</v>
      </c>
      <c r="B185" s="535" t="s">
        <v>593</v>
      </c>
      <c r="C185" s="533" t="s">
        <v>72</v>
      </c>
      <c r="D185" s="70">
        <f t="shared" si="8"/>
        <v>0</v>
      </c>
      <c r="E185" s="406"/>
      <c r="F185" s="71">
        <f t="shared" si="9"/>
        <v>0</v>
      </c>
    </row>
    <row r="186" spans="1:6" s="534" customFormat="1" ht="12">
      <c r="A186" s="531" t="s">
        <v>584</v>
      </c>
      <c r="B186" s="535" t="s">
        <v>594</v>
      </c>
      <c r="C186" s="533" t="s">
        <v>72</v>
      </c>
      <c r="D186" s="70">
        <f t="shared" si="8"/>
        <v>0</v>
      </c>
      <c r="E186" s="406"/>
      <c r="F186" s="71">
        <f t="shared" si="9"/>
        <v>0</v>
      </c>
    </row>
    <row r="187" spans="1:6" s="534" customFormat="1" ht="12">
      <c r="A187" s="531" t="s">
        <v>584</v>
      </c>
      <c r="B187" s="535" t="s">
        <v>1708</v>
      </c>
      <c r="C187" s="533" t="s">
        <v>72</v>
      </c>
      <c r="D187" s="70">
        <f t="shared" si="8"/>
        <v>0</v>
      </c>
      <c r="E187" s="406"/>
      <c r="F187" s="71">
        <f t="shared" si="9"/>
        <v>0</v>
      </c>
    </row>
    <row r="188" spans="1:6" s="534" customFormat="1" ht="12">
      <c r="A188" s="531" t="s">
        <v>584</v>
      </c>
      <c r="B188" s="535" t="s">
        <v>1709</v>
      </c>
      <c r="C188" s="533" t="s">
        <v>72</v>
      </c>
      <c r="D188" s="70">
        <f t="shared" si="8"/>
        <v>0</v>
      </c>
      <c r="E188" s="406"/>
      <c r="F188" s="71">
        <f t="shared" si="9"/>
        <v>0</v>
      </c>
    </row>
    <row r="189" spans="1:6" s="534" customFormat="1" ht="12">
      <c r="A189" s="531" t="s">
        <v>584</v>
      </c>
      <c r="B189" s="535" t="s">
        <v>580</v>
      </c>
      <c r="C189" s="533" t="s">
        <v>589</v>
      </c>
      <c r="D189" s="70">
        <v>35</v>
      </c>
      <c r="E189" s="405"/>
      <c r="F189" s="71">
        <f t="shared" si="9"/>
        <v>0</v>
      </c>
    </row>
    <row r="190" spans="1:6" s="534" customFormat="1" ht="12">
      <c r="A190" s="531" t="s">
        <v>585</v>
      </c>
      <c r="B190" s="535" t="s">
        <v>581</v>
      </c>
      <c r="C190" s="533" t="s">
        <v>519</v>
      </c>
      <c r="D190" s="70">
        <v>4</v>
      </c>
      <c r="E190" s="405"/>
      <c r="F190" s="71">
        <f t="shared" si="9"/>
        <v>0</v>
      </c>
    </row>
    <row r="191" spans="1:6" s="534" customFormat="1" ht="12">
      <c r="A191" s="531" t="s">
        <v>586</v>
      </c>
      <c r="B191" s="535" t="s">
        <v>590</v>
      </c>
      <c r="C191" s="533" t="s">
        <v>69</v>
      </c>
      <c r="D191" s="70">
        <v>1</v>
      </c>
      <c r="E191" s="405"/>
      <c r="F191" s="71">
        <f t="shared" si="9"/>
        <v>0</v>
      </c>
    </row>
    <row r="192" spans="1:6" s="534" customFormat="1" ht="12">
      <c r="A192" s="531" t="s">
        <v>587</v>
      </c>
      <c r="B192" s="535" t="s">
        <v>582</v>
      </c>
      <c r="C192" s="533" t="s">
        <v>589</v>
      </c>
      <c r="D192" s="70">
        <v>8</v>
      </c>
      <c r="E192" s="405"/>
      <c r="F192" s="71">
        <f t="shared" si="9"/>
        <v>0</v>
      </c>
    </row>
    <row r="193" spans="1:6" s="534" customFormat="1" ht="12">
      <c r="A193" s="531" t="s">
        <v>588</v>
      </c>
      <c r="B193" s="535" t="s">
        <v>514</v>
      </c>
      <c r="C193" s="533" t="s">
        <v>72</v>
      </c>
      <c r="D193" s="70">
        <f>SUM(F12:F182)</f>
        <v>0</v>
      </c>
      <c r="E193" s="406"/>
      <c r="F193" s="71">
        <f t="shared" si="9"/>
        <v>0</v>
      </c>
    </row>
    <row r="194" spans="1:6" s="534" customFormat="1" ht="13.5" thickBot="1">
      <c r="A194" s="537"/>
      <c r="B194" s="538"/>
      <c r="C194" s="539"/>
      <c r="D194" s="73"/>
      <c r="E194" s="541"/>
      <c r="F194" s="74"/>
    </row>
    <row r="195" spans="1:6" ht="15.75" thickBot="1">
      <c r="A195" s="732" t="s">
        <v>152</v>
      </c>
      <c r="B195" s="733"/>
      <c r="C195" s="733"/>
      <c r="D195" s="733"/>
      <c r="E195" s="734">
        <f>SUM(F11:F194)</f>
        <v>0</v>
      </c>
      <c r="F195" s="735"/>
    </row>
    <row r="197" spans="1:6" ht="45" customHeight="1">
      <c r="A197" s="726" t="s">
        <v>185</v>
      </c>
      <c r="B197" s="727"/>
      <c r="C197" s="727"/>
      <c r="D197" s="727"/>
      <c r="E197" s="727"/>
      <c r="F197" s="727"/>
    </row>
  </sheetData>
  <mergeCells count="8">
    <mergeCell ref="A197:F197"/>
    <mergeCell ref="B1:F1"/>
    <mergeCell ref="A4:F4"/>
    <mergeCell ref="A5:F5"/>
    <mergeCell ref="B7:F7"/>
    <mergeCell ref="A195:D195"/>
    <mergeCell ref="E195:F195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  <headerFooter>
    <oddHeader>&amp;LBD Hübnerové&amp;ROdhad stavebních nákladů</oddHeader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7"/>
  <sheetViews>
    <sheetView view="pageBreakPreview" zoomScaleSheetLayoutView="100" workbookViewId="0" topLeftCell="A1">
      <selection activeCell="B3" sqref="B3"/>
    </sheetView>
  </sheetViews>
  <sheetFormatPr defaultColWidth="10.66015625" defaultRowHeight="13.5"/>
  <cols>
    <col min="1" max="1" width="13.5" style="292" customWidth="1"/>
    <col min="2" max="2" width="84.66015625" style="293" customWidth="1"/>
    <col min="3" max="3" width="10" style="294" customWidth="1"/>
    <col min="4" max="4" width="18.16015625" style="295" customWidth="1"/>
    <col min="5" max="5" width="18.16015625" style="296" customWidth="1"/>
    <col min="6" max="6" width="21" style="297" customWidth="1"/>
    <col min="7" max="7" width="15.16015625" style="291" customWidth="1"/>
    <col min="8" max="16384" width="10.66015625" style="291" customWidth="1"/>
  </cols>
  <sheetData>
    <row r="1" spans="1:6" s="543" customFormat="1" ht="15">
      <c r="A1" s="542" t="s">
        <v>3</v>
      </c>
      <c r="B1" s="542" t="str">
        <f>Rekapitulace!K4</f>
        <v>Stavební úpravy, vestavba a přístavba stávajícího objektu</v>
      </c>
      <c r="C1" s="542"/>
      <c r="D1" s="233"/>
      <c r="E1" s="235"/>
      <c r="F1" s="232"/>
    </row>
    <row r="2" spans="1:6" s="543" customFormat="1" ht="12.75">
      <c r="A2" s="544"/>
      <c r="B2" s="545"/>
      <c r="D2" s="236"/>
      <c r="E2" s="232"/>
      <c r="F2" s="232"/>
    </row>
    <row r="3" spans="2:6" s="546" customFormat="1" ht="13.5">
      <c r="B3" s="547" t="s">
        <v>127</v>
      </c>
      <c r="C3" s="547"/>
      <c r="D3" s="234"/>
      <c r="E3" s="273"/>
      <c r="F3" s="274"/>
    </row>
    <row r="4" spans="1:6" s="546" customFormat="1" ht="13.5">
      <c r="A4" s="738"/>
      <c r="B4" s="738"/>
      <c r="C4" s="738"/>
      <c r="D4" s="738"/>
      <c r="E4" s="274"/>
      <c r="F4" s="274"/>
    </row>
    <row r="5" spans="2:6" s="542" customFormat="1" ht="15">
      <c r="B5" s="542" t="s">
        <v>1953</v>
      </c>
      <c r="D5" s="233"/>
      <c r="E5" s="235"/>
      <c r="F5" s="235"/>
    </row>
    <row r="6" spans="1:6" s="542" customFormat="1" ht="15.75" thickBot="1">
      <c r="A6" s="548"/>
      <c r="B6" s="549"/>
      <c r="C6" s="548"/>
      <c r="D6" s="275"/>
      <c r="E6" s="276"/>
      <c r="F6" s="235"/>
    </row>
    <row r="7" spans="1:6" s="551" customFormat="1" ht="15.75" thickBot="1">
      <c r="A7" s="550" t="s">
        <v>11</v>
      </c>
      <c r="B7" s="277">
        <f>Rekapitulace!K11</f>
        <v>0</v>
      </c>
      <c r="C7" s="548"/>
      <c r="D7" s="275"/>
      <c r="E7" s="276"/>
      <c r="F7" s="278"/>
    </row>
    <row r="8" spans="1:11" s="283" customFormat="1" ht="15">
      <c r="A8" s="279"/>
      <c r="B8" s="279"/>
      <c r="C8" s="279"/>
      <c r="D8" s="280"/>
      <c r="E8" s="281"/>
      <c r="F8" s="281"/>
      <c r="G8" s="282"/>
      <c r="H8" s="282"/>
      <c r="I8" s="282"/>
      <c r="J8" s="282"/>
      <c r="K8" s="282"/>
    </row>
    <row r="9" spans="1:6" s="283" customFormat="1" ht="13.5">
      <c r="A9" s="240"/>
      <c r="B9" s="241" t="s">
        <v>163</v>
      </c>
      <c r="C9" s="242" t="s">
        <v>61</v>
      </c>
      <c r="D9" s="57" t="s">
        <v>131</v>
      </c>
      <c r="E9" s="554" t="s">
        <v>264</v>
      </c>
      <c r="F9" s="57" t="s">
        <v>164</v>
      </c>
    </row>
    <row r="10" spans="1:6" s="283" customFormat="1" ht="12.75">
      <c r="A10" s="243" t="s">
        <v>148</v>
      </c>
      <c r="B10" s="244" t="s">
        <v>1740</v>
      </c>
      <c r="C10" s="244"/>
      <c r="D10" s="58"/>
      <c r="E10" s="407"/>
      <c r="F10" s="59"/>
    </row>
    <row r="11" spans="1:6" s="283" customFormat="1" ht="13.5">
      <c r="A11" s="226" t="s">
        <v>153</v>
      </c>
      <c r="B11" s="227" t="s">
        <v>1741</v>
      </c>
      <c r="C11" s="552" t="s">
        <v>149</v>
      </c>
      <c r="D11" s="228">
        <v>1</v>
      </c>
      <c r="E11" s="189"/>
      <c r="F11" s="61">
        <f>E11*D11</f>
        <v>0</v>
      </c>
    </row>
    <row r="12" spans="1:6" s="381" customFormat="1" ht="11.25">
      <c r="A12" s="376"/>
      <c r="B12" s="377" t="s">
        <v>1742</v>
      </c>
      <c r="C12" s="378">
        <v>1</v>
      </c>
      <c r="D12" s="378"/>
      <c r="E12" s="379"/>
      <c r="F12" s="380">
        <f aca="true" t="shared" si="0" ref="F12:F19">E12*C12</f>
        <v>0</v>
      </c>
    </row>
    <row r="13" spans="1:6" s="381" customFormat="1" ht="11.25">
      <c r="A13" s="376"/>
      <c r="B13" s="377" t="s">
        <v>1743</v>
      </c>
      <c r="C13" s="378">
        <v>3</v>
      </c>
      <c r="D13" s="378"/>
      <c r="E13" s="379"/>
      <c r="F13" s="380">
        <f t="shared" si="0"/>
        <v>0</v>
      </c>
    </row>
    <row r="14" spans="1:6" s="381" customFormat="1" ht="11.25">
      <c r="A14" s="376"/>
      <c r="B14" s="377" t="s">
        <v>1744</v>
      </c>
      <c r="C14" s="378">
        <v>2</v>
      </c>
      <c r="D14" s="378"/>
      <c r="E14" s="379"/>
      <c r="F14" s="380">
        <f t="shared" si="0"/>
        <v>0</v>
      </c>
    </row>
    <row r="15" spans="1:6" s="381" customFormat="1" ht="11.25">
      <c r="A15" s="376"/>
      <c r="B15" s="377" t="s">
        <v>1745</v>
      </c>
      <c r="C15" s="378">
        <v>4</v>
      </c>
      <c r="D15" s="378"/>
      <c r="E15" s="379"/>
      <c r="F15" s="380">
        <f t="shared" si="0"/>
        <v>0</v>
      </c>
    </row>
    <row r="16" spans="1:6" s="381" customFormat="1" ht="11.25">
      <c r="A16" s="376"/>
      <c r="B16" s="377" t="s">
        <v>1746</v>
      </c>
      <c r="C16" s="378">
        <v>2</v>
      </c>
      <c r="D16" s="378"/>
      <c r="E16" s="379"/>
      <c r="F16" s="380">
        <f t="shared" si="0"/>
        <v>0</v>
      </c>
    </row>
    <row r="17" spans="1:6" s="381" customFormat="1" ht="11.25">
      <c r="A17" s="376"/>
      <c r="B17" s="377" t="s">
        <v>1747</v>
      </c>
      <c r="C17" s="378">
        <v>1</v>
      </c>
      <c r="D17" s="378"/>
      <c r="E17" s="379"/>
      <c r="F17" s="380">
        <f t="shared" si="0"/>
        <v>0</v>
      </c>
    </row>
    <row r="18" spans="1:6" s="381" customFormat="1" ht="11.25">
      <c r="A18" s="376"/>
      <c r="B18" s="377" t="s">
        <v>1748</v>
      </c>
      <c r="C18" s="378">
        <v>2</v>
      </c>
      <c r="D18" s="378"/>
      <c r="E18" s="379"/>
      <c r="F18" s="380">
        <f t="shared" si="0"/>
        <v>0</v>
      </c>
    </row>
    <row r="19" spans="1:6" s="381" customFormat="1" ht="11.25">
      <c r="A19" s="376"/>
      <c r="B19" s="377" t="s">
        <v>1749</v>
      </c>
      <c r="C19" s="378">
        <v>1</v>
      </c>
      <c r="D19" s="378"/>
      <c r="E19" s="379"/>
      <c r="F19" s="380">
        <f t="shared" si="0"/>
        <v>0</v>
      </c>
    </row>
    <row r="20" spans="1:6" s="283" customFormat="1" ht="13.5">
      <c r="A20" s="226" t="s">
        <v>154</v>
      </c>
      <c r="B20" s="227" t="s">
        <v>1764</v>
      </c>
      <c r="C20" s="552" t="s">
        <v>149</v>
      </c>
      <c r="D20" s="228">
        <v>2</v>
      </c>
      <c r="E20" s="189"/>
      <c r="F20" s="61">
        <f aca="true" t="shared" si="1" ref="F20:F35">E20*D20</f>
        <v>0</v>
      </c>
    </row>
    <row r="21" spans="1:6" s="381" customFormat="1" ht="11.25">
      <c r="A21" s="376"/>
      <c r="B21" s="377" t="s">
        <v>1750</v>
      </c>
      <c r="C21" s="566">
        <v>1</v>
      </c>
      <c r="D21" s="378"/>
      <c r="E21" s="379"/>
      <c r="F21" s="380">
        <f t="shared" si="1"/>
        <v>0</v>
      </c>
    </row>
    <row r="22" spans="1:6" s="381" customFormat="1" ht="11.25">
      <c r="A22" s="376"/>
      <c r="B22" s="377" t="s">
        <v>1751</v>
      </c>
      <c r="C22" s="566">
        <v>1</v>
      </c>
      <c r="D22" s="378"/>
      <c r="E22" s="379"/>
      <c r="F22" s="380">
        <f t="shared" si="1"/>
        <v>0</v>
      </c>
    </row>
    <row r="23" spans="1:6" s="381" customFormat="1" ht="11.25">
      <c r="A23" s="376"/>
      <c r="B23" s="377" t="s">
        <v>1752</v>
      </c>
      <c r="C23" s="566">
        <v>1</v>
      </c>
      <c r="D23" s="378"/>
      <c r="E23" s="379"/>
      <c r="F23" s="380">
        <f t="shared" si="1"/>
        <v>0</v>
      </c>
    </row>
    <row r="24" spans="1:6" s="381" customFormat="1" ht="11.25">
      <c r="A24" s="376"/>
      <c r="B24" s="377" t="s">
        <v>1753</v>
      </c>
      <c r="C24" s="566">
        <v>1</v>
      </c>
      <c r="D24" s="378"/>
      <c r="E24" s="379"/>
      <c r="F24" s="380">
        <f t="shared" si="1"/>
        <v>0</v>
      </c>
    </row>
    <row r="25" spans="1:6" s="381" customFormat="1" ht="11.25">
      <c r="A25" s="376"/>
      <c r="B25" s="377" t="s">
        <v>1754</v>
      </c>
      <c r="C25" s="566">
        <v>4</v>
      </c>
      <c r="D25" s="378"/>
      <c r="E25" s="379"/>
      <c r="F25" s="380">
        <f t="shared" si="1"/>
        <v>0</v>
      </c>
    </row>
    <row r="26" spans="1:6" s="381" customFormat="1" ht="11.25">
      <c r="A26" s="376"/>
      <c r="B26" s="377" t="s">
        <v>1755</v>
      </c>
      <c r="C26" s="566">
        <v>2</v>
      </c>
      <c r="D26" s="378"/>
      <c r="E26" s="379"/>
      <c r="F26" s="380">
        <f t="shared" si="1"/>
        <v>0</v>
      </c>
    </row>
    <row r="27" spans="1:6" s="381" customFormat="1" ht="11.25">
      <c r="A27" s="376"/>
      <c r="B27" s="377" t="s">
        <v>1756</v>
      </c>
      <c r="C27" s="566">
        <v>1</v>
      </c>
      <c r="D27" s="378"/>
      <c r="E27" s="379"/>
      <c r="F27" s="380">
        <f t="shared" si="1"/>
        <v>0</v>
      </c>
    </row>
    <row r="28" spans="1:6" s="381" customFormat="1" ht="11.25">
      <c r="A28" s="376"/>
      <c r="B28" s="377" t="s">
        <v>1757</v>
      </c>
      <c r="C28" s="566">
        <v>3</v>
      </c>
      <c r="D28" s="378"/>
      <c r="E28" s="379"/>
      <c r="F28" s="380">
        <f t="shared" si="1"/>
        <v>0</v>
      </c>
    </row>
    <row r="29" spans="1:6" s="381" customFormat="1" ht="11.25">
      <c r="A29" s="376"/>
      <c r="B29" s="377" t="s">
        <v>1758</v>
      </c>
      <c r="C29" s="566">
        <v>4</v>
      </c>
      <c r="D29" s="378"/>
      <c r="E29" s="379"/>
      <c r="F29" s="380">
        <f t="shared" si="1"/>
        <v>0</v>
      </c>
    </row>
    <row r="30" spans="1:6" s="381" customFormat="1" ht="11.25">
      <c r="A30" s="376"/>
      <c r="B30" s="377" t="s">
        <v>1759</v>
      </c>
      <c r="C30" s="566">
        <v>5</v>
      </c>
      <c r="D30" s="378"/>
      <c r="E30" s="379"/>
      <c r="F30" s="380">
        <f t="shared" si="1"/>
        <v>0</v>
      </c>
    </row>
    <row r="31" spans="1:6" s="381" customFormat="1" ht="11.25">
      <c r="A31" s="376"/>
      <c r="B31" s="377" t="s">
        <v>1760</v>
      </c>
      <c r="C31" s="566">
        <v>1</v>
      </c>
      <c r="D31" s="378"/>
      <c r="E31" s="379"/>
      <c r="F31" s="380">
        <f t="shared" si="1"/>
        <v>0</v>
      </c>
    </row>
    <row r="32" spans="1:6" s="381" customFormat="1" ht="11.25">
      <c r="A32" s="376"/>
      <c r="B32" s="377" t="s">
        <v>1761</v>
      </c>
      <c r="C32" s="566">
        <v>1</v>
      </c>
      <c r="D32" s="378"/>
      <c r="E32" s="379"/>
      <c r="F32" s="380">
        <f t="shared" si="1"/>
        <v>0</v>
      </c>
    </row>
    <row r="33" spans="1:6" s="381" customFormat="1" ht="11.25">
      <c r="A33" s="376"/>
      <c r="B33" s="377" t="s">
        <v>1762</v>
      </c>
      <c r="C33" s="566">
        <v>1</v>
      </c>
      <c r="D33" s="378"/>
      <c r="E33" s="379"/>
      <c r="F33" s="380">
        <f t="shared" si="1"/>
        <v>0</v>
      </c>
    </row>
    <row r="34" spans="1:6" s="381" customFormat="1" ht="11.25">
      <c r="A34" s="376"/>
      <c r="B34" s="377" t="s">
        <v>1763</v>
      </c>
      <c r="C34" s="566">
        <v>1</v>
      </c>
      <c r="D34" s="378"/>
      <c r="E34" s="379"/>
      <c r="F34" s="380">
        <f t="shared" si="1"/>
        <v>0</v>
      </c>
    </row>
    <row r="35" spans="1:6" s="283" customFormat="1" ht="13.5">
      <c r="A35" s="226" t="s">
        <v>155</v>
      </c>
      <c r="B35" s="227" t="s">
        <v>1765</v>
      </c>
      <c r="C35" s="552" t="s">
        <v>149</v>
      </c>
      <c r="D35" s="228">
        <v>2</v>
      </c>
      <c r="E35" s="189"/>
      <c r="F35" s="61">
        <f t="shared" si="1"/>
        <v>0</v>
      </c>
    </row>
    <row r="36" spans="1:6" s="381" customFormat="1" ht="11.25">
      <c r="A36" s="376"/>
      <c r="B36" s="377" t="s">
        <v>1750</v>
      </c>
      <c r="C36" s="566">
        <v>1</v>
      </c>
      <c r="D36" s="378"/>
      <c r="E36" s="379"/>
      <c r="F36" s="380">
        <f aca="true" t="shared" si="2" ref="F36:F46">E36*D36</f>
        <v>0</v>
      </c>
    </row>
    <row r="37" spans="1:6" s="381" customFormat="1" ht="11.25">
      <c r="A37" s="376"/>
      <c r="B37" s="377" t="s">
        <v>1751</v>
      </c>
      <c r="C37" s="566">
        <v>1</v>
      </c>
      <c r="D37" s="378"/>
      <c r="E37" s="379"/>
      <c r="F37" s="380">
        <f t="shared" si="2"/>
        <v>0</v>
      </c>
    </row>
    <row r="38" spans="1:6" s="381" customFormat="1" ht="11.25">
      <c r="A38" s="376"/>
      <c r="B38" s="377" t="s">
        <v>1752</v>
      </c>
      <c r="C38" s="566">
        <v>1</v>
      </c>
      <c r="D38" s="378"/>
      <c r="E38" s="379"/>
      <c r="F38" s="380">
        <f t="shared" si="2"/>
        <v>0</v>
      </c>
    </row>
    <row r="39" spans="1:6" s="381" customFormat="1" ht="11.25">
      <c r="A39" s="376"/>
      <c r="B39" s="377" t="s">
        <v>1753</v>
      </c>
      <c r="C39" s="566">
        <v>1</v>
      </c>
      <c r="D39" s="378"/>
      <c r="E39" s="379"/>
      <c r="F39" s="380">
        <f t="shared" si="2"/>
        <v>0</v>
      </c>
    </row>
    <row r="40" spans="1:6" s="381" customFormat="1" ht="11.25">
      <c r="A40" s="376"/>
      <c r="B40" s="377" t="s">
        <v>1754</v>
      </c>
      <c r="C40" s="566">
        <v>4</v>
      </c>
      <c r="D40" s="378"/>
      <c r="E40" s="379"/>
      <c r="F40" s="380">
        <f t="shared" si="2"/>
        <v>0</v>
      </c>
    </row>
    <row r="41" spans="1:6" s="381" customFormat="1" ht="11.25">
      <c r="A41" s="376"/>
      <c r="B41" s="377" t="s">
        <v>1756</v>
      </c>
      <c r="C41" s="566">
        <v>3</v>
      </c>
      <c r="D41" s="378"/>
      <c r="E41" s="379"/>
      <c r="F41" s="380">
        <f t="shared" si="2"/>
        <v>0</v>
      </c>
    </row>
    <row r="42" spans="1:6" s="381" customFormat="1" ht="11.25">
      <c r="A42" s="376"/>
      <c r="B42" s="377" t="s">
        <v>1757</v>
      </c>
      <c r="C42" s="566">
        <v>5</v>
      </c>
      <c r="D42" s="378"/>
      <c r="E42" s="379"/>
      <c r="F42" s="380">
        <f t="shared" si="2"/>
        <v>0</v>
      </c>
    </row>
    <row r="43" spans="1:6" s="381" customFormat="1" ht="11.25">
      <c r="A43" s="376"/>
      <c r="B43" s="377" t="s">
        <v>1758</v>
      </c>
      <c r="C43" s="566">
        <v>6</v>
      </c>
      <c r="D43" s="378"/>
      <c r="E43" s="379"/>
      <c r="F43" s="380">
        <f t="shared" si="2"/>
        <v>0</v>
      </c>
    </row>
    <row r="44" spans="1:6" s="381" customFormat="1" ht="11.25">
      <c r="A44" s="376"/>
      <c r="B44" s="377" t="s">
        <v>1759</v>
      </c>
      <c r="C44" s="566">
        <v>7</v>
      </c>
      <c r="D44" s="378"/>
      <c r="E44" s="379"/>
      <c r="F44" s="380">
        <f t="shared" si="2"/>
        <v>0</v>
      </c>
    </row>
    <row r="45" spans="1:6" s="381" customFormat="1" ht="11.25">
      <c r="A45" s="376"/>
      <c r="B45" s="377" t="s">
        <v>1761</v>
      </c>
      <c r="C45" s="566">
        <v>1</v>
      </c>
      <c r="D45" s="378"/>
      <c r="E45" s="379"/>
      <c r="F45" s="380">
        <f t="shared" si="2"/>
        <v>0</v>
      </c>
    </row>
    <row r="46" spans="1:6" s="381" customFormat="1" ht="11.25">
      <c r="A46" s="376"/>
      <c r="B46" s="377" t="s">
        <v>1763</v>
      </c>
      <c r="C46" s="566">
        <v>1</v>
      </c>
      <c r="D46" s="378"/>
      <c r="E46" s="379"/>
      <c r="F46" s="380">
        <f t="shared" si="2"/>
        <v>0</v>
      </c>
    </row>
    <row r="47" spans="1:6" s="283" customFormat="1" ht="13.5">
      <c r="A47" s="226" t="s">
        <v>156</v>
      </c>
      <c r="B47" s="227" t="s">
        <v>1766</v>
      </c>
      <c r="C47" s="552" t="s">
        <v>149</v>
      </c>
      <c r="D47" s="228">
        <v>1</v>
      </c>
      <c r="E47" s="189"/>
      <c r="F47" s="61">
        <f aca="true" t="shared" si="3" ref="F47:F59">E47*D47</f>
        <v>0</v>
      </c>
    </row>
    <row r="48" spans="1:6" s="381" customFormat="1" ht="11.25">
      <c r="A48" s="376"/>
      <c r="B48" s="377" t="s">
        <v>1750</v>
      </c>
      <c r="C48" s="566">
        <v>1</v>
      </c>
      <c r="D48" s="378"/>
      <c r="E48" s="379"/>
      <c r="F48" s="380">
        <f t="shared" si="3"/>
        <v>0</v>
      </c>
    </row>
    <row r="49" spans="1:6" s="381" customFormat="1" ht="11.25">
      <c r="A49" s="376"/>
      <c r="B49" s="377" t="s">
        <v>1751</v>
      </c>
      <c r="C49" s="566">
        <v>1</v>
      </c>
      <c r="D49" s="378"/>
      <c r="E49" s="379"/>
      <c r="F49" s="380">
        <f t="shared" si="3"/>
        <v>0</v>
      </c>
    </row>
    <row r="50" spans="1:6" s="381" customFormat="1" ht="11.25">
      <c r="A50" s="376"/>
      <c r="B50" s="377" t="s">
        <v>1752</v>
      </c>
      <c r="C50" s="566">
        <v>1</v>
      </c>
      <c r="D50" s="378"/>
      <c r="E50" s="379"/>
      <c r="F50" s="380">
        <f t="shared" si="3"/>
        <v>0</v>
      </c>
    </row>
    <row r="51" spans="1:6" s="381" customFormat="1" ht="11.25">
      <c r="A51" s="376"/>
      <c r="B51" s="377" t="s">
        <v>1753</v>
      </c>
      <c r="C51" s="566">
        <v>1</v>
      </c>
      <c r="D51" s="378"/>
      <c r="E51" s="379"/>
      <c r="F51" s="380">
        <f t="shared" si="3"/>
        <v>0</v>
      </c>
    </row>
    <row r="52" spans="1:6" s="381" customFormat="1" ht="11.25">
      <c r="A52" s="376"/>
      <c r="B52" s="377" t="s">
        <v>1754</v>
      </c>
      <c r="C52" s="566">
        <v>4</v>
      </c>
      <c r="D52" s="378"/>
      <c r="E52" s="379"/>
      <c r="F52" s="380">
        <f t="shared" si="3"/>
        <v>0</v>
      </c>
    </row>
    <row r="53" spans="1:6" s="381" customFormat="1" ht="11.25">
      <c r="A53" s="376"/>
      <c r="B53" s="377" t="s">
        <v>1757</v>
      </c>
      <c r="C53" s="566">
        <v>1</v>
      </c>
      <c r="D53" s="378"/>
      <c r="E53" s="379"/>
      <c r="F53" s="380">
        <f t="shared" si="3"/>
        <v>0</v>
      </c>
    </row>
    <row r="54" spans="1:6" s="381" customFormat="1" ht="11.25">
      <c r="A54" s="376"/>
      <c r="B54" s="377" t="s">
        <v>1758</v>
      </c>
      <c r="C54" s="566">
        <v>6</v>
      </c>
      <c r="D54" s="378"/>
      <c r="E54" s="379"/>
      <c r="F54" s="380">
        <f t="shared" si="3"/>
        <v>0</v>
      </c>
    </row>
    <row r="55" spans="1:6" s="381" customFormat="1" ht="11.25">
      <c r="A55" s="376"/>
      <c r="B55" s="377" t="s">
        <v>1759</v>
      </c>
      <c r="C55" s="566">
        <v>5</v>
      </c>
      <c r="D55" s="378"/>
      <c r="E55" s="379"/>
      <c r="F55" s="380">
        <f t="shared" si="3"/>
        <v>0</v>
      </c>
    </row>
    <row r="56" spans="1:6" s="381" customFormat="1" ht="11.25">
      <c r="A56" s="376"/>
      <c r="B56" s="377" t="s">
        <v>1769</v>
      </c>
      <c r="C56" s="566">
        <v>2</v>
      </c>
      <c r="D56" s="378"/>
      <c r="E56" s="379"/>
      <c r="F56" s="380">
        <f t="shared" si="3"/>
        <v>0</v>
      </c>
    </row>
    <row r="57" spans="1:6" s="381" customFormat="1" ht="11.25">
      <c r="A57" s="376"/>
      <c r="B57" s="377" t="s">
        <v>1770</v>
      </c>
      <c r="C57" s="566">
        <v>1</v>
      </c>
      <c r="D57" s="378"/>
      <c r="E57" s="379"/>
      <c r="F57" s="380">
        <f t="shared" si="3"/>
        <v>0</v>
      </c>
    </row>
    <row r="58" spans="1:6" s="381" customFormat="1" ht="11.25">
      <c r="A58" s="376"/>
      <c r="B58" s="377" t="s">
        <v>1771</v>
      </c>
      <c r="C58" s="566">
        <v>2</v>
      </c>
      <c r="D58" s="378"/>
      <c r="E58" s="379"/>
      <c r="F58" s="380">
        <f t="shared" si="3"/>
        <v>0</v>
      </c>
    </row>
    <row r="59" spans="1:6" s="381" customFormat="1" ht="11.25">
      <c r="A59" s="376"/>
      <c r="B59" s="377" t="s">
        <v>1763</v>
      </c>
      <c r="C59" s="566">
        <v>1</v>
      </c>
      <c r="D59" s="378"/>
      <c r="E59" s="379"/>
      <c r="F59" s="380">
        <f t="shared" si="3"/>
        <v>0</v>
      </c>
    </row>
    <row r="60" spans="1:6" s="283" customFormat="1" ht="13.5">
      <c r="A60" s="226" t="s">
        <v>157</v>
      </c>
      <c r="B60" s="227" t="s">
        <v>1767</v>
      </c>
      <c r="C60" s="552" t="s">
        <v>149</v>
      </c>
      <c r="D60" s="228">
        <v>1</v>
      </c>
      <c r="E60" s="189"/>
      <c r="F60" s="61">
        <f aca="true" t="shared" si="4" ref="F60:F75">E60*D60</f>
        <v>0</v>
      </c>
    </row>
    <row r="61" spans="1:6" s="381" customFormat="1" ht="11.25">
      <c r="A61" s="376"/>
      <c r="B61" s="377" t="s">
        <v>1772</v>
      </c>
      <c r="C61" s="566">
        <v>1</v>
      </c>
      <c r="D61" s="378"/>
      <c r="E61" s="379"/>
      <c r="F61" s="380">
        <f t="shared" si="4"/>
        <v>0</v>
      </c>
    </row>
    <row r="62" spans="1:6" s="381" customFormat="1" ht="11.25">
      <c r="A62" s="376"/>
      <c r="B62" s="377" t="s">
        <v>1751</v>
      </c>
      <c r="C62" s="566">
        <v>1</v>
      </c>
      <c r="D62" s="378"/>
      <c r="E62" s="379"/>
      <c r="F62" s="380">
        <f t="shared" si="4"/>
        <v>0</v>
      </c>
    </row>
    <row r="63" spans="1:6" s="381" customFormat="1" ht="11.25">
      <c r="A63" s="376"/>
      <c r="B63" s="377" t="s">
        <v>1773</v>
      </c>
      <c r="C63" s="566">
        <v>3</v>
      </c>
      <c r="D63" s="378"/>
      <c r="E63" s="379"/>
      <c r="F63" s="380">
        <f t="shared" si="4"/>
        <v>0</v>
      </c>
    </row>
    <row r="64" spans="1:6" s="381" customFormat="1" ht="11.25">
      <c r="A64" s="376"/>
      <c r="B64" s="377" t="s">
        <v>1774</v>
      </c>
      <c r="C64" s="566">
        <v>1</v>
      </c>
      <c r="D64" s="378"/>
      <c r="E64" s="379"/>
      <c r="F64" s="380">
        <f t="shared" si="4"/>
        <v>0</v>
      </c>
    </row>
    <row r="65" spans="1:6" s="381" customFormat="1" ht="11.25">
      <c r="A65" s="376"/>
      <c r="B65" s="377" t="s">
        <v>1775</v>
      </c>
      <c r="C65" s="566">
        <v>2</v>
      </c>
      <c r="D65" s="378"/>
      <c r="E65" s="379"/>
      <c r="F65" s="380">
        <f t="shared" si="4"/>
        <v>0</v>
      </c>
    </row>
    <row r="66" spans="1:6" s="381" customFormat="1" ht="11.25">
      <c r="A66" s="376"/>
      <c r="B66" s="377" t="s">
        <v>1757</v>
      </c>
      <c r="C66" s="566">
        <v>10</v>
      </c>
      <c r="D66" s="378"/>
      <c r="E66" s="379"/>
      <c r="F66" s="380">
        <f t="shared" si="4"/>
        <v>0</v>
      </c>
    </row>
    <row r="67" spans="1:6" s="381" customFormat="1" ht="11.25">
      <c r="A67" s="376"/>
      <c r="B67" s="377" t="s">
        <v>1758</v>
      </c>
      <c r="C67" s="566">
        <v>26</v>
      </c>
      <c r="D67" s="378"/>
      <c r="E67" s="379"/>
      <c r="F67" s="380">
        <f t="shared" si="4"/>
        <v>0</v>
      </c>
    </row>
    <row r="68" spans="1:6" s="381" customFormat="1" ht="11.25">
      <c r="A68" s="376"/>
      <c r="B68" s="377" t="s">
        <v>1759</v>
      </c>
      <c r="C68" s="566">
        <v>18</v>
      </c>
      <c r="D68" s="378"/>
      <c r="E68" s="379"/>
      <c r="F68" s="380">
        <f t="shared" si="4"/>
        <v>0</v>
      </c>
    </row>
    <row r="69" spans="1:6" s="381" customFormat="1" ht="11.25">
      <c r="A69" s="376"/>
      <c r="B69" s="377" t="s">
        <v>1776</v>
      </c>
      <c r="C69" s="566">
        <v>1</v>
      </c>
      <c r="D69" s="378"/>
      <c r="E69" s="379"/>
      <c r="F69" s="380">
        <f t="shared" si="4"/>
        <v>0</v>
      </c>
    </row>
    <row r="70" spans="1:6" s="381" customFormat="1" ht="11.25">
      <c r="A70" s="376"/>
      <c r="B70" s="377" t="s">
        <v>1777</v>
      </c>
      <c r="C70" s="566">
        <v>1</v>
      </c>
      <c r="D70" s="378"/>
      <c r="E70" s="379"/>
      <c r="F70" s="380">
        <f t="shared" si="4"/>
        <v>0</v>
      </c>
    </row>
    <row r="71" spans="1:6" s="381" customFormat="1" ht="11.25">
      <c r="A71" s="376"/>
      <c r="B71" s="377" t="s">
        <v>1778</v>
      </c>
      <c r="C71" s="566">
        <v>1</v>
      </c>
      <c r="D71" s="378"/>
      <c r="E71" s="379"/>
      <c r="F71" s="380">
        <f t="shared" si="4"/>
        <v>0</v>
      </c>
    </row>
    <row r="72" spans="1:6" s="381" customFormat="1" ht="11.25">
      <c r="A72" s="376"/>
      <c r="B72" s="377" t="s">
        <v>1779</v>
      </c>
      <c r="C72" s="566">
        <v>1</v>
      </c>
      <c r="D72" s="378"/>
      <c r="E72" s="379"/>
      <c r="F72" s="380">
        <f t="shared" si="4"/>
        <v>0</v>
      </c>
    </row>
    <row r="73" spans="1:6" s="381" customFormat="1" ht="11.25">
      <c r="A73" s="376"/>
      <c r="B73" s="377" t="s">
        <v>1761</v>
      </c>
      <c r="C73" s="566">
        <v>1</v>
      </c>
      <c r="D73" s="378"/>
      <c r="E73" s="379"/>
      <c r="F73" s="380">
        <f t="shared" si="4"/>
        <v>0</v>
      </c>
    </row>
    <row r="74" spans="1:6" s="381" customFormat="1" ht="11.25">
      <c r="A74" s="376"/>
      <c r="B74" s="377" t="s">
        <v>1762</v>
      </c>
      <c r="C74" s="566">
        <v>2</v>
      </c>
      <c r="D74" s="378"/>
      <c r="E74" s="379"/>
      <c r="F74" s="380">
        <f t="shared" si="4"/>
        <v>0</v>
      </c>
    </row>
    <row r="75" spans="1:6" s="381" customFormat="1" ht="11.25">
      <c r="A75" s="376"/>
      <c r="B75" s="377" t="s">
        <v>1763</v>
      </c>
      <c r="C75" s="566">
        <v>2</v>
      </c>
      <c r="D75" s="378"/>
      <c r="E75" s="379"/>
      <c r="F75" s="380">
        <f t="shared" si="4"/>
        <v>0</v>
      </c>
    </row>
    <row r="76" spans="1:6" s="283" customFormat="1" ht="13.5">
      <c r="A76" s="226" t="s">
        <v>158</v>
      </c>
      <c r="B76" s="227" t="s">
        <v>1780</v>
      </c>
      <c r="C76" s="552" t="s">
        <v>149</v>
      </c>
      <c r="D76" s="228">
        <v>1</v>
      </c>
      <c r="E76" s="189"/>
      <c r="F76" s="61">
        <f aca="true" t="shared" si="5" ref="F76:F91">E76*D76</f>
        <v>0</v>
      </c>
    </row>
    <row r="77" spans="1:6" s="381" customFormat="1" ht="11.25">
      <c r="A77" s="376"/>
      <c r="B77" s="377" t="s">
        <v>1782</v>
      </c>
      <c r="C77" s="566">
        <v>1</v>
      </c>
      <c r="D77" s="378"/>
      <c r="E77" s="379"/>
      <c r="F77" s="380">
        <f t="shared" si="5"/>
        <v>0</v>
      </c>
    </row>
    <row r="78" spans="1:6" s="381" customFormat="1" ht="11.25">
      <c r="A78" s="376"/>
      <c r="B78" s="377" t="s">
        <v>1783</v>
      </c>
      <c r="C78" s="566">
        <v>1</v>
      </c>
      <c r="D78" s="378"/>
      <c r="E78" s="379"/>
      <c r="F78" s="380">
        <f t="shared" si="5"/>
        <v>0</v>
      </c>
    </row>
    <row r="79" spans="1:6" s="381" customFormat="1" ht="11.25">
      <c r="A79" s="376"/>
      <c r="B79" s="377" t="s">
        <v>1784</v>
      </c>
      <c r="C79" s="566">
        <v>1</v>
      </c>
      <c r="D79" s="378"/>
      <c r="E79" s="379"/>
      <c r="F79" s="380">
        <f t="shared" si="5"/>
        <v>0</v>
      </c>
    </row>
    <row r="80" spans="1:6" s="283" customFormat="1" ht="13.5">
      <c r="A80" s="226" t="s">
        <v>159</v>
      </c>
      <c r="B80" s="227" t="s">
        <v>1781</v>
      </c>
      <c r="C80" s="552" t="s">
        <v>149</v>
      </c>
      <c r="D80" s="228">
        <v>1</v>
      </c>
      <c r="E80" s="189"/>
      <c r="F80" s="61">
        <f t="shared" si="5"/>
        <v>0</v>
      </c>
    </row>
    <row r="81" spans="1:6" s="381" customFormat="1" ht="11.25">
      <c r="A81" s="376"/>
      <c r="B81" s="377" t="s">
        <v>1785</v>
      </c>
      <c r="C81" s="566">
        <v>1</v>
      </c>
      <c r="D81" s="378"/>
      <c r="E81" s="379"/>
      <c r="F81" s="380">
        <f t="shared" si="5"/>
        <v>0</v>
      </c>
    </row>
    <row r="82" spans="1:6" s="381" customFormat="1" ht="11.25">
      <c r="A82" s="376"/>
      <c r="B82" s="377" t="s">
        <v>1783</v>
      </c>
      <c r="C82" s="566">
        <v>1</v>
      </c>
      <c r="D82" s="378"/>
      <c r="E82" s="379"/>
      <c r="F82" s="380">
        <f t="shared" si="5"/>
        <v>0</v>
      </c>
    </row>
    <row r="83" spans="1:6" s="381" customFormat="1" ht="11.25">
      <c r="A83" s="376"/>
      <c r="B83" s="377" t="s">
        <v>1774</v>
      </c>
      <c r="C83" s="566">
        <v>5</v>
      </c>
      <c r="D83" s="378"/>
      <c r="E83" s="379"/>
      <c r="F83" s="380">
        <f t="shared" si="5"/>
        <v>0</v>
      </c>
    </row>
    <row r="84" spans="1:6" s="381" customFormat="1" ht="11.25">
      <c r="A84" s="376"/>
      <c r="B84" s="377" t="s">
        <v>1784</v>
      </c>
      <c r="C84" s="566">
        <v>1</v>
      </c>
      <c r="D84" s="378"/>
      <c r="E84" s="379"/>
      <c r="F84" s="380">
        <f t="shared" si="5"/>
        <v>0</v>
      </c>
    </row>
    <row r="85" spans="1:6" s="283" customFormat="1" ht="13.5">
      <c r="A85" s="226" t="s">
        <v>160</v>
      </c>
      <c r="B85" s="227" t="s">
        <v>1768</v>
      </c>
      <c r="C85" s="552" t="s">
        <v>149</v>
      </c>
      <c r="D85" s="228">
        <v>1</v>
      </c>
      <c r="E85" s="189"/>
      <c r="F85" s="61">
        <f t="shared" si="5"/>
        <v>0</v>
      </c>
    </row>
    <row r="86" spans="1:6" s="381" customFormat="1" ht="11.25">
      <c r="A86" s="376"/>
      <c r="B86" s="377" t="s">
        <v>1782</v>
      </c>
      <c r="C86" s="566">
        <v>1</v>
      </c>
      <c r="D86" s="378"/>
      <c r="E86" s="379"/>
      <c r="F86" s="380">
        <f t="shared" si="5"/>
        <v>0</v>
      </c>
    </row>
    <row r="87" spans="1:6" s="381" customFormat="1" ht="11.25">
      <c r="A87" s="376"/>
      <c r="B87" s="377" t="s">
        <v>1783</v>
      </c>
      <c r="C87" s="566">
        <v>1</v>
      </c>
      <c r="D87" s="378"/>
      <c r="E87" s="379"/>
      <c r="F87" s="380">
        <f t="shared" si="5"/>
        <v>0</v>
      </c>
    </row>
    <row r="88" spans="1:6" s="381" customFormat="1" ht="11.25">
      <c r="A88" s="376"/>
      <c r="B88" s="377" t="s">
        <v>1774</v>
      </c>
      <c r="C88" s="566">
        <v>2</v>
      </c>
      <c r="D88" s="378"/>
      <c r="E88" s="379"/>
      <c r="F88" s="380">
        <f t="shared" si="5"/>
        <v>0</v>
      </c>
    </row>
    <row r="89" spans="1:6" s="381" customFormat="1" ht="11.25">
      <c r="A89" s="376"/>
      <c r="B89" s="377" t="s">
        <v>1786</v>
      </c>
      <c r="C89" s="566">
        <v>4</v>
      </c>
      <c r="D89" s="378"/>
      <c r="E89" s="379"/>
      <c r="F89" s="380">
        <f t="shared" si="5"/>
        <v>0</v>
      </c>
    </row>
    <row r="90" spans="1:6" s="381" customFormat="1" ht="11.25">
      <c r="A90" s="376"/>
      <c r="B90" s="377" t="s">
        <v>1787</v>
      </c>
      <c r="C90" s="566">
        <v>1</v>
      </c>
      <c r="D90" s="378"/>
      <c r="E90" s="379"/>
      <c r="F90" s="380">
        <f t="shared" si="5"/>
        <v>0</v>
      </c>
    </row>
    <row r="91" spans="1:6" s="381" customFormat="1" ht="11.25">
      <c r="A91" s="376"/>
      <c r="B91" s="377" t="s">
        <v>1788</v>
      </c>
      <c r="C91" s="566">
        <v>1</v>
      </c>
      <c r="D91" s="378"/>
      <c r="E91" s="379"/>
      <c r="F91" s="380">
        <f t="shared" si="5"/>
        <v>0</v>
      </c>
    </row>
    <row r="92" spans="1:6" s="283" customFormat="1" ht="13.5">
      <c r="A92" s="229" t="s">
        <v>150</v>
      </c>
      <c r="B92" s="230" t="s">
        <v>243</v>
      </c>
      <c r="C92" s="553"/>
      <c r="D92" s="231"/>
      <c r="E92" s="191"/>
      <c r="F92" s="60"/>
    </row>
    <row r="93" spans="1:6" s="283" customFormat="1" ht="24">
      <c r="A93" s="226" t="s">
        <v>215</v>
      </c>
      <c r="B93" s="227" t="s">
        <v>2360</v>
      </c>
      <c r="C93" s="552" t="s">
        <v>149</v>
      </c>
      <c r="D93" s="228">
        <v>25</v>
      </c>
      <c r="E93" s="189"/>
      <c r="F93" s="61">
        <f aca="true" t="shared" si="6" ref="F93:F138">E93*D93</f>
        <v>0</v>
      </c>
    </row>
    <row r="94" spans="1:6" s="283" customFormat="1" ht="13.5">
      <c r="A94" s="226" t="s">
        <v>217</v>
      </c>
      <c r="B94" s="227" t="s">
        <v>2361</v>
      </c>
      <c r="C94" s="552" t="s">
        <v>149</v>
      </c>
      <c r="D94" s="228">
        <v>25</v>
      </c>
      <c r="E94" s="189"/>
      <c r="F94" s="61">
        <f t="shared" si="6"/>
        <v>0</v>
      </c>
    </row>
    <row r="95" spans="1:6" s="283" customFormat="1" ht="24">
      <c r="A95" s="226" t="s">
        <v>216</v>
      </c>
      <c r="B95" s="227" t="s">
        <v>2362</v>
      </c>
      <c r="C95" s="552" t="s">
        <v>149</v>
      </c>
      <c r="D95" s="228">
        <v>25</v>
      </c>
      <c r="E95" s="189"/>
      <c r="F95" s="61">
        <f t="shared" si="6"/>
        <v>0</v>
      </c>
    </row>
    <row r="96" spans="1:6" s="283" customFormat="1" ht="24">
      <c r="A96" s="226" t="s">
        <v>219</v>
      </c>
      <c r="B96" s="227" t="s">
        <v>2363</v>
      </c>
      <c r="C96" s="552" t="s">
        <v>149</v>
      </c>
      <c r="D96" s="228">
        <v>0</v>
      </c>
      <c r="E96" s="189"/>
      <c r="F96" s="61">
        <f t="shared" si="6"/>
        <v>0</v>
      </c>
    </row>
    <row r="97" spans="1:6" s="283" customFormat="1" ht="24">
      <c r="A97" s="226" t="s">
        <v>220</v>
      </c>
      <c r="B97" s="227" t="s">
        <v>2364</v>
      </c>
      <c r="C97" s="552" t="s">
        <v>149</v>
      </c>
      <c r="D97" s="228">
        <v>0</v>
      </c>
      <c r="E97" s="189"/>
      <c r="F97" s="61">
        <f t="shared" si="6"/>
        <v>0</v>
      </c>
    </row>
    <row r="98" spans="1:6" s="283" customFormat="1" ht="24">
      <c r="A98" s="226" t="s">
        <v>218</v>
      </c>
      <c r="B98" s="227" t="s">
        <v>2365</v>
      </c>
      <c r="C98" s="552" t="s">
        <v>149</v>
      </c>
      <c r="D98" s="228">
        <v>0</v>
      </c>
      <c r="E98" s="189"/>
      <c r="F98" s="61">
        <f t="shared" si="6"/>
        <v>0</v>
      </c>
    </row>
    <row r="99" spans="1:6" s="283" customFormat="1" ht="24">
      <c r="A99" s="226" t="s">
        <v>595</v>
      </c>
      <c r="B99" s="227" t="s">
        <v>2366</v>
      </c>
      <c r="C99" s="552" t="s">
        <v>149</v>
      </c>
      <c r="D99" s="228">
        <v>10</v>
      </c>
      <c r="E99" s="189"/>
      <c r="F99" s="61">
        <f t="shared" si="6"/>
        <v>0</v>
      </c>
    </row>
    <row r="100" spans="1:6" s="283" customFormat="1" ht="24">
      <c r="A100" s="226" t="s">
        <v>1789</v>
      </c>
      <c r="B100" s="227" t="s">
        <v>2367</v>
      </c>
      <c r="C100" s="552" t="s">
        <v>149</v>
      </c>
      <c r="D100" s="228">
        <v>6</v>
      </c>
      <c r="E100" s="189"/>
      <c r="F100" s="61">
        <f t="shared" si="6"/>
        <v>0</v>
      </c>
    </row>
    <row r="101" spans="1:6" s="283" customFormat="1" ht="24">
      <c r="A101" s="226" t="s">
        <v>1790</v>
      </c>
      <c r="B101" s="227" t="s">
        <v>2368</v>
      </c>
      <c r="C101" s="552" t="s">
        <v>149</v>
      </c>
      <c r="D101" s="228">
        <v>0</v>
      </c>
      <c r="E101" s="189"/>
      <c r="F101" s="61">
        <f t="shared" si="6"/>
        <v>0</v>
      </c>
    </row>
    <row r="102" spans="1:6" s="283" customFormat="1" ht="24">
      <c r="A102" s="226" t="s">
        <v>1791</v>
      </c>
      <c r="B102" s="227" t="s">
        <v>2369</v>
      </c>
      <c r="C102" s="552" t="s">
        <v>149</v>
      </c>
      <c r="D102" s="228">
        <v>1</v>
      </c>
      <c r="E102" s="189"/>
      <c r="F102" s="61">
        <f t="shared" si="6"/>
        <v>0</v>
      </c>
    </row>
    <row r="103" spans="1:6" s="283" customFormat="1" ht="24">
      <c r="A103" s="226" t="s">
        <v>1792</v>
      </c>
      <c r="B103" s="227" t="s">
        <v>2370</v>
      </c>
      <c r="C103" s="552" t="s">
        <v>149</v>
      </c>
      <c r="D103" s="228">
        <v>4</v>
      </c>
      <c r="E103" s="189"/>
      <c r="F103" s="61">
        <f t="shared" si="6"/>
        <v>0</v>
      </c>
    </row>
    <row r="104" spans="1:6" s="283" customFormat="1" ht="24">
      <c r="A104" s="226" t="s">
        <v>1793</v>
      </c>
      <c r="B104" s="227" t="s">
        <v>2371</v>
      </c>
      <c r="C104" s="552" t="s">
        <v>149</v>
      </c>
      <c r="D104" s="228">
        <v>1</v>
      </c>
      <c r="E104" s="189"/>
      <c r="F104" s="61">
        <f t="shared" si="6"/>
        <v>0</v>
      </c>
    </row>
    <row r="105" spans="1:6" s="283" customFormat="1" ht="24">
      <c r="A105" s="226" t="s">
        <v>1794</v>
      </c>
      <c r="B105" s="227" t="s">
        <v>2372</v>
      </c>
      <c r="C105" s="552" t="s">
        <v>149</v>
      </c>
      <c r="D105" s="228">
        <v>12</v>
      </c>
      <c r="E105" s="189"/>
      <c r="F105" s="61">
        <f t="shared" si="6"/>
        <v>0</v>
      </c>
    </row>
    <row r="106" spans="1:6" s="283" customFormat="1" ht="24">
      <c r="A106" s="226" t="s">
        <v>1795</v>
      </c>
      <c r="B106" s="227" t="s">
        <v>2373</v>
      </c>
      <c r="C106" s="552" t="s">
        <v>149</v>
      </c>
      <c r="D106" s="228">
        <v>3</v>
      </c>
      <c r="E106" s="189"/>
      <c r="F106" s="61">
        <f t="shared" si="6"/>
        <v>0</v>
      </c>
    </row>
    <row r="107" spans="1:6" s="283" customFormat="1" ht="24">
      <c r="A107" s="226" t="s">
        <v>1796</v>
      </c>
      <c r="B107" s="227" t="s">
        <v>2374</v>
      </c>
      <c r="C107" s="552" t="s">
        <v>149</v>
      </c>
      <c r="D107" s="228">
        <v>3</v>
      </c>
      <c r="E107" s="189"/>
      <c r="F107" s="61">
        <f t="shared" si="6"/>
        <v>0</v>
      </c>
    </row>
    <row r="108" spans="1:6" s="283" customFormat="1" ht="24">
      <c r="A108" s="226" t="s">
        <v>1797</v>
      </c>
      <c r="B108" s="227" t="s">
        <v>2375</v>
      </c>
      <c r="C108" s="552" t="s">
        <v>149</v>
      </c>
      <c r="D108" s="228">
        <v>6</v>
      </c>
      <c r="E108" s="189"/>
      <c r="F108" s="61">
        <f t="shared" si="6"/>
        <v>0</v>
      </c>
    </row>
    <row r="109" spans="1:6" s="283" customFormat="1" ht="24">
      <c r="A109" s="226" t="s">
        <v>1798</v>
      </c>
      <c r="B109" s="227" t="s">
        <v>2376</v>
      </c>
      <c r="C109" s="552" t="s">
        <v>149</v>
      </c>
      <c r="D109" s="228">
        <v>16</v>
      </c>
      <c r="E109" s="189"/>
      <c r="F109" s="61">
        <f t="shared" si="6"/>
        <v>0</v>
      </c>
    </row>
    <row r="110" spans="1:6" s="283" customFormat="1" ht="24">
      <c r="A110" s="226" t="s">
        <v>1799</v>
      </c>
      <c r="B110" s="227" t="s">
        <v>2377</v>
      </c>
      <c r="C110" s="552" t="s">
        <v>149</v>
      </c>
      <c r="D110" s="228">
        <v>1</v>
      </c>
      <c r="E110" s="189"/>
      <c r="F110" s="61">
        <f t="shared" si="6"/>
        <v>0</v>
      </c>
    </row>
    <row r="111" spans="1:6" s="283" customFormat="1" ht="24">
      <c r="A111" s="226" t="s">
        <v>1800</v>
      </c>
      <c r="B111" s="227" t="s">
        <v>2378</v>
      </c>
      <c r="C111" s="552" t="s">
        <v>149</v>
      </c>
      <c r="D111" s="228">
        <v>3</v>
      </c>
      <c r="E111" s="189"/>
      <c r="F111" s="61">
        <f t="shared" si="6"/>
        <v>0</v>
      </c>
    </row>
    <row r="112" spans="1:6" s="283" customFormat="1" ht="24">
      <c r="A112" s="226" t="s">
        <v>1801</v>
      </c>
      <c r="B112" s="227" t="s">
        <v>2379</v>
      </c>
      <c r="C112" s="552" t="s">
        <v>149</v>
      </c>
      <c r="D112" s="228">
        <v>9</v>
      </c>
      <c r="E112" s="189"/>
      <c r="F112" s="61">
        <f t="shared" si="6"/>
        <v>0</v>
      </c>
    </row>
    <row r="113" spans="1:6" s="283" customFormat="1" ht="24">
      <c r="A113" s="226" t="s">
        <v>1802</v>
      </c>
      <c r="B113" s="227" t="s">
        <v>2380</v>
      </c>
      <c r="C113" s="552" t="s">
        <v>149</v>
      </c>
      <c r="D113" s="228">
        <v>6</v>
      </c>
      <c r="E113" s="189"/>
      <c r="F113" s="61">
        <f t="shared" si="6"/>
        <v>0</v>
      </c>
    </row>
    <row r="114" spans="1:6" s="283" customFormat="1" ht="24">
      <c r="A114" s="226" t="s">
        <v>1803</v>
      </c>
      <c r="B114" s="227" t="s">
        <v>2381</v>
      </c>
      <c r="C114" s="552" t="s">
        <v>149</v>
      </c>
      <c r="D114" s="228">
        <v>13</v>
      </c>
      <c r="E114" s="189"/>
      <c r="F114" s="61">
        <f t="shared" si="6"/>
        <v>0</v>
      </c>
    </row>
    <row r="115" spans="1:6" s="283" customFormat="1" ht="24">
      <c r="A115" s="226" t="s">
        <v>1804</v>
      </c>
      <c r="B115" s="227" t="s">
        <v>2382</v>
      </c>
      <c r="C115" s="552" t="s">
        <v>149</v>
      </c>
      <c r="D115" s="228">
        <v>8</v>
      </c>
      <c r="E115" s="189"/>
      <c r="F115" s="61">
        <f t="shared" si="6"/>
        <v>0</v>
      </c>
    </row>
    <row r="116" spans="1:6" s="283" customFormat="1" ht="24">
      <c r="A116" s="226" t="s">
        <v>1805</v>
      </c>
      <c r="B116" s="227" t="s">
        <v>2383</v>
      </c>
      <c r="C116" s="552" t="s">
        <v>149</v>
      </c>
      <c r="D116" s="228">
        <v>12</v>
      </c>
      <c r="E116" s="189"/>
      <c r="F116" s="61">
        <f t="shared" si="6"/>
        <v>0</v>
      </c>
    </row>
    <row r="117" spans="1:6" s="283" customFormat="1" ht="13.5">
      <c r="A117" s="226" t="s">
        <v>1806</v>
      </c>
      <c r="B117" s="227" t="s">
        <v>2384</v>
      </c>
      <c r="C117" s="552" t="s">
        <v>149</v>
      </c>
      <c r="D117" s="228">
        <v>8</v>
      </c>
      <c r="E117" s="189"/>
      <c r="F117" s="61">
        <f t="shared" si="6"/>
        <v>0</v>
      </c>
    </row>
    <row r="118" spans="1:6" s="283" customFormat="1" ht="24">
      <c r="A118" s="226" t="s">
        <v>1807</v>
      </c>
      <c r="B118" s="227" t="s">
        <v>2385</v>
      </c>
      <c r="C118" s="552" t="s">
        <v>149</v>
      </c>
      <c r="D118" s="228">
        <v>40</v>
      </c>
      <c r="E118" s="189"/>
      <c r="F118" s="61">
        <f t="shared" si="6"/>
        <v>0</v>
      </c>
    </row>
    <row r="119" spans="1:6" s="283" customFormat="1" ht="13.5">
      <c r="A119" s="226" t="s">
        <v>1808</v>
      </c>
      <c r="B119" s="227" t="s">
        <v>2386</v>
      </c>
      <c r="C119" s="552" t="s">
        <v>149</v>
      </c>
      <c r="D119" s="228">
        <v>12</v>
      </c>
      <c r="E119" s="189"/>
      <c r="F119" s="61">
        <f t="shared" si="6"/>
        <v>0</v>
      </c>
    </row>
    <row r="120" spans="1:6" s="283" customFormat="1" ht="24">
      <c r="A120" s="226" t="s">
        <v>1809</v>
      </c>
      <c r="B120" s="227" t="s">
        <v>2387</v>
      </c>
      <c r="C120" s="552" t="s">
        <v>149</v>
      </c>
      <c r="D120" s="228">
        <v>36</v>
      </c>
      <c r="E120" s="189"/>
      <c r="F120" s="61">
        <f t="shared" si="6"/>
        <v>0</v>
      </c>
    </row>
    <row r="121" spans="1:6" s="283" customFormat="1" ht="24">
      <c r="A121" s="226" t="s">
        <v>1810</v>
      </c>
      <c r="B121" s="227" t="s">
        <v>2388</v>
      </c>
      <c r="C121" s="552" t="s">
        <v>149</v>
      </c>
      <c r="D121" s="228">
        <v>42</v>
      </c>
      <c r="E121" s="189"/>
      <c r="F121" s="61">
        <f t="shared" si="6"/>
        <v>0</v>
      </c>
    </row>
    <row r="122" spans="1:6" s="283" customFormat="1" ht="13.5">
      <c r="A122" s="226" t="s">
        <v>1811</v>
      </c>
      <c r="B122" s="227" t="s">
        <v>2389</v>
      </c>
      <c r="C122" s="552" t="s">
        <v>149</v>
      </c>
      <c r="D122" s="228">
        <v>18</v>
      </c>
      <c r="E122" s="189"/>
      <c r="F122" s="61">
        <f aca="true" t="shared" si="7" ref="F122:F125">E122*D122</f>
        <v>0</v>
      </c>
    </row>
    <row r="123" spans="1:6" s="283" customFormat="1" ht="13.5">
      <c r="A123" s="226" t="s">
        <v>1812</v>
      </c>
      <c r="B123" s="227" t="s">
        <v>2390</v>
      </c>
      <c r="C123" s="552" t="s">
        <v>149</v>
      </c>
      <c r="D123" s="228">
        <v>3</v>
      </c>
      <c r="E123" s="189"/>
      <c r="F123" s="61">
        <f t="shared" si="7"/>
        <v>0</v>
      </c>
    </row>
    <row r="124" spans="1:6" s="283" customFormat="1" ht="13.5">
      <c r="A124" s="226" t="s">
        <v>1813</v>
      </c>
      <c r="B124" s="227" t="s">
        <v>2391</v>
      </c>
      <c r="C124" s="552" t="s">
        <v>149</v>
      </c>
      <c r="D124" s="228">
        <v>3</v>
      </c>
      <c r="E124" s="189"/>
      <c r="F124" s="61">
        <f t="shared" si="7"/>
        <v>0</v>
      </c>
    </row>
    <row r="125" spans="1:6" s="283" customFormat="1" ht="13.5">
      <c r="A125" s="226" t="s">
        <v>1814</v>
      </c>
      <c r="B125" s="227" t="s">
        <v>2392</v>
      </c>
      <c r="C125" s="552" t="s">
        <v>149</v>
      </c>
      <c r="D125" s="228">
        <v>6</v>
      </c>
      <c r="E125" s="189"/>
      <c r="F125" s="61">
        <f t="shared" si="7"/>
        <v>0</v>
      </c>
    </row>
    <row r="126" spans="1:6" s="283" customFormat="1" ht="13.5">
      <c r="A126" s="226" t="s">
        <v>1815</v>
      </c>
      <c r="B126" s="227" t="s">
        <v>2393</v>
      </c>
      <c r="C126" s="552" t="s">
        <v>149</v>
      </c>
      <c r="D126" s="228">
        <v>5</v>
      </c>
      <c r="E126" s="189"/>
      <c r="F126" s="61">
        <f t="shared" si="6"/>
        <v>0</v>
      </c>
    </row>
    <row r="127" spans="1:6" s="283" customFormat="1" ht="13.5">
      <c r="A127" s="226" t="s">
        <v>1816</v>
      </c>
      <c r="B127" s="227" t="s">
        <v>2394</v>
      </c>
      <c r="C127" s="552" t="s">
        <v>149</v>
      </c>
      <c r="D127" s="228">
        <v>10</v>
      </c>
      <c r="E127" s="189"/>
      <c r="F127" s="61">
        <f t="shared" si="6"/>
        <v>0</v>
      </c>
    </row>
    <row r="128" spans="1:6" s="283" customFormat="1" ht="13.5">
      <c r="A128" s="226" t="s">
        <v>1817</v>
      </c>
      <c r="B128" s="227" t="s">
        <v>2395</v>
      </c>
      <c r="C128" s="552" t="s">
        <v>149</v>
      </c>
      <c r="D128" s="228">
        <v>0</v>
      </c>
      <c r="E128" s="189"/>
      <c r="F128" s="61">
        <f t="shared" si="6"/>
        <v>0</v>
      </c>
    </row>
    <row r="129" spans="1:6" s="283" customFormat="1" ht="13.5">
      <c r="A129" s="226" t="s">
        <v>1818</v>
      </c>
      <c r="B129" s="227" t="s">
        <v>2396</v>
      </c>
      <c r="C129" s="552" t="s">
        <v>149</v>
      </c>
      <c r="D129" s="228">
        <v>1</v>
      </c>
      <c r="E129" s="189"/>
      <c r="F129" s="61">
        <f t="shared" si="6"/>
        <v>0</v>
      </c>
    </row>
    <row r="130" spans="1:6" s="283" customFormat="1" ht="13.5">
      <c r="A130" s="226" t="s">
        <v>1819</v>
      </c>
      <c r="B130" s="227" t="s">
        <v>2397</v>
      </c>
      <c r="C130" s="552" t="s">
        <v>149</v>
      </c>
      <c r="D130" s="228">
        <v>8</v>
      </c>
      <c r="E130" s="189"/>
      <c r="F130" s="61">
        <f t="shared" si="6"/>
        <v>0</v>
      </c>
    </row>
    <row r="131" spans="1:6" s="283" customFormat="1" ht="13.5">
      <c r="A131" s="226" t="s">
        <v>1820</v>
      </c>
      <c r="B131" s="227" t="s">
        <v>2398</v>
      </c>
      <c r="C131" s="552" t="s">
        <v>149</v>
      </c>
      <c r="D131" s="228">
        <v>5</v>
      </c>
      <c r="E131" s="189"/>
      <c r="F131" s="61">
        <f t="shared" si="6"/>
        <v>0</v>
      </c>
    </row>
    <row r="132" spans="1:6" s="283" customFormat="1" ht="13.5">
      <c r="A132" s="226" t="s">
        <v>1821</v>
      </c>
      <c r="B132" s="227" t="s">
        <v>2399</v>
      </c>
      <c r="C132" s="552" t="s">
        <v>149</v>
      </c>
      <c r="D132" s="228">
        <v>1</v>
      </c>
      <c r="E132" s="189"/>
      <c r="F132" s="61">
        <f t="shared" si="6"/>
        <v>0</v>
      </c>
    </row>
    <row r="133" spans="1:6" s="283" customFormat="1" ht="24">
      <c r="A133" s="226" t="s">
        <v>1822</v>
      </c>
      <c r="B133" s="227" t="s">
        <v>2400</v>
      </c>
      <c r="C133" s="552" t="s">
        <v>149</v>
      </c>
      <c r="D133" s="228">
        <v>2</v>
      </c>
      <c r="E133" s="189"/>
      <c r="F133" s="61">
        <f t="shared" si="6"/>
        <v>0</v>
      </c>
    </row>
    <row r="134" spans="1:6" s="283" customFormat="1" ht="24">
      <c r="A134" s="226" t="s">
        <v>1823</v>
      </c>
      <c r="B134" s="227" t="s">
        <v>2401</v>
      </c>
      <c r="C134" s="552" t="s">
        <v>149</v>
      </c>
      <c r="D134" s="228">
        <v>3</v>
      </c>
      <c r="E134" s="189"/>
      <c r="F134" s="61">
        <f t="shared" si="6"/>
        <v>0</v>
      </c>
    </row>
    <row r="135" spans="1:6" s="283" customFormat="1" ht="24">
      <c r="A135" s="226" t="s">
        <v>1824</v>
      </c>
      <c r="B135" s="227" t="s">
        <v>2402</v>
      </c>
      <c r="C135" s="552" t="s">
        <v>149</v>
      </c>
      <c r="D135" s="228">
        <v>0</v>
      </c>
      <c r="E135" s="189"/>
      <c r="F135" s="61">
        <f t="shared" si="6"/>
        <v>0</v>
      </c>
    </row>
    <row r="136" spans="1:6" s="283" customFormat="1" ht="24">
      <c r="A136" s="226" t="s">
        <v>1825</v>
      </c>
      <c r="B136" s="227" t="s">
        <v>2403</v>
      </c>
      <c r="C136" s="552" t="s">
        <v>149</v>
      </c>
      <c r="D136" s="228">
        <v>2</v>
      </c>
      <c r="E136" s="189"/>
      <c r="F136" s="61">
        <f t="shared" si="6"/>
        <v>0</v>
      </c>
    </row>
    <row r="137" spans="1:6" s="283" customFormat="1" ht="24">
      <c r="A137" s="226" t="s">
        <v>1826</v>
      </c>
      <c r="B137" s="227" t="s">
        <v>2404</v>
      </c>
      <c r="C137" s="552" t="s">
        <v>149</v>
      </c>
      <c r="D137" s="228">
        <v>5</v>
      </c>
      <c r="E137" s="189"/>
      <c r="F137" s="61">
        <f t="shared" si="6"/>
        <v>0</v>
      </c>
    </row>
    <row r="138" spans="1:6" s="283" customFormat="1" ht="24">
      <c r="A138" s="226" t="s">
        <v>1827</v>
      </c>
      <c r="B138" s="227" t="s">
        <v>2405</v>
      </c>
      <c r="C138" s="552" t="s">
        <v>149</v>
      </c>
      <c r="D138" s="228">
        <v>8</v>
      </c>
      <c r="E138" s="189"/>
      <c r="F138" s="61">
        <f t="shared" si="6"/>
        <v>0</v>
      </c>
    </row>
    <row r="139" spans="1:6" s="283" customFormat="1" ht="24">
      <c r="A139" s="226" t="s">
        <v>1828</v>
      </c>
      <c r="B139" s="227" t="s">
        <v>2406</v>
      </c>
      <c r="C139" s="552" t="s">
        <v>149</v>
      </c>
      <c r="D139" s="228">
        <v>0</v>
      </c>
      <c r="E139" s="189"/>
      <c r="F139" s="61">
        <f>E139*D139</f>
        <v>0</v>
      </c>
    </row>
    <row r="140" spans="1:6" s="283" customFormat="1" ht="24">
      <c r="A140" s="226" t="s">
        <v>1829</v>
      </c>
      <c r="B140" s="227" t="s">
        <v>2407</v>
      </c>
      <c r="C140" s="552" t="s">
        <v>149</v>
      </c>
      <c r="D140" s="228">
        <v>2</v>
      </c>
      <c r="E140" s="189"/>
      <c r="F140" s="61">
        <f aca="true" t="shared" si="8" ref="F140:F146">E140*D140</f>
        <v>0</v>
      </c>
    </row>
    <row r="141" spans="1:6" s="283" customFormat="1" ht="24">
      <c r="A141" s="226" t="s">
        <v>1830</v>
      </c>
      <c r="B141" s="227" t="s">
        <v>2408</v>
      </c>
      <c r="C141" s="552" t="s">
        <v>149</v>
      </c>
      <c r="D141" s="228">
        <v>2</v>
      </c>
      <c r="E141" s="189"/>
      <c r="F141" s="61">
        <f t="shared" si="8"/>
        <v>0</v>
      </c>
    </row>
    <row r="142" spans="1:6" s="283" customFormat="1" ht="24">
      <c r="A142" s="226" t="s">
        <v>1831</v>
      </c>
      <c r="B142" s="227" t="s">
        <v>2409</v>
      </c>
      <c r="C142" s="552" t="s">
        <v>149</v>
      </c>
      <c r="D142" s="228">
        <v>26</v>
      </c>
      <c r="E142" s="189"/>
      <c r="F142" s="61">
        <f t="shared" si="8"/>
        <v>0</v>
      </c>
    </row>
    <row r="143" spans="1:6" s="283" customFormat="1" ht="24">
      <c r="A143" s="226" t="s">
        <v>1832</v>
      </c>
      <c r="B143" s="227" t="s">
        <v>2410</v>
      </c>
      <c r="C143" s="552" t="s">
        <v>149</v>
      </c>
      <c r="D143" s="228">
        <v>7</v>
      </c>
      <c r="E143" s="189"/>
      <c r="F143" s="61">
        <f t="shared" si="8"/>
        <v>0</v>
      </c>
    </row>
    <row r="144" spans="1:6" s="283" customFormat="1" ht="24">
      <c r="A144" s="226" t="s">
        <v>1833</v>
      </c>
      <c r="B144" s="227" t="s">
        <v>2411</v>
      </c>
      <c r="C144" s="552" t="s">
        <v>149</v>
      </c>
      <c r="D144" s="228">
        <v>24</v>
      </c>
      <c r="E144" s="189"/>
      <c r="F144" s="61">
        <f t="shared" si="8"/>
        <v>0</v>
      </c>
    </row>
    <row r="145" spans="1:6" s="283" customFormat="1" ht="24">
      <c r="A145" s="226" t="s">
        <v>1834</v>
      </c>
      <c r="B145" s="227" t="s">
        <v>2412</v>
      </c>
      <c r="C145" s="552" t="s">
        <v>149</v>
      </c>
      <c r="D145" s="228">
        <v>2</v>
      </c>
      <c r="E145" s="189"/>
      <c r="F145" s="61">
        <f t="shared" si="8"/>
        <v>0</v>
      </c>
    </row>
    <row r="146" spans="1:6" s="283" customFormat="1" ht="24">
      <c r="A146" s="226" t="s">
        <v>1835</v>
      </c>
      <c r="B146" s="227" t="s">
        <v>2413</v>
      </c>
      <c r="C146" s="552" t="s">
        <v>149</v>
      </c>
      <c r="D146" s="228">
        <v>4</v>
      </c>
      <c r="E146" s="189"/>
      <c r="F146" s="61">
        <f t="shared" si="8"/>
        <v>0</v>
      </c>
    </row>
    <row r="147" spans="1:6" s="283" customFormat="1" ht="24">
      <c r="A147" s="226" t="s">
        <v>1836</v>
      </c>
      <c r="B147" s="227" t="s">
        <v>2414</v>
      </c>
      <c r="C147" s="552" t="s">
        <v>149</v>
      </c>
      <c r="D147" s="228">
        <v>8</v>
      </c>
      <c r="E147" s="189"/>
      <c r="F147" s="61">
        <f>E147*D147</f>
        <v>0</v>
      </c>
    </row>
    <row r="148" spans="1:6" s="283" customFormat="1" ht="24">
      <c r="A148" s="226" t="s">
        <v>2281</v>
      </c>
      <c r="B148" s="227" t="s">
        <v>2415</v>
      </c>
      <c r="C148" s="552" t="s">
        <v>149</v>
      </c>
      <c r="D148" s="228">
        <v>3</v>
      </c>
      <c r="E148" s="189"/>
      <c r="F148" s="61">
        <f>E148*D148</f>
        <v>0</v>
      </c>
    </row>
    <row r="149" spans="1:6" s="283" customFormat="1" ht="24">
      <c r="A149" s="226" t="s">
        <v>2282</v>
      </c>
      <c r="B149" s="227" t="s">
        <v>2416</v>
      </c>
      <c r="C149" s="552" t="s">
        <v>149</v>
      </c>
      <c r="D149" s="228">
        <v>2</v>
      </c>
      <c r="E149" s="189"/>
      <c r="F149" s="61">
        <f>E149*D149</f>
        <v>0</v>
      </c>
    </row>
    <row r="150" spans="1:6" s="283" customFormat="1" ht="13.5">
      <c r="A150" s="229" t="s">
        <v>151</v>
      </c>
      <c r="B150" s="230" t="s">
        <v>2417</v>
      </c>
      <c r="C150" s="553"/>
      <c r="D150" s="231"/>
      <c r="E150" s="191"/>
      <c r="F150" s="60"/>
    </row>
    <row r="151" spans="1:6" s="283" customFormat="1" ht="13.5">
      <c r="A151" s="226" t="s">
        <v>221</v>
      </c>
      <c r="B151" s="227" t="s">
        <v>1837</v>
      </c>
      <c r="C151" s="552" t="s">
        <v>149</v>
      </c>
      <c r="D151" s="228">
        <v>64</v>
      </c>
      <c r="E151" s="189"/>
      <c r="F151" s="61">
        <f aca="true" t="shared" si="9" ref="F151:F174">E151*D151</f>
        <v>0</v>
      </c>
    </row>
    <row r="152" spans="1:6" s="283" customFormat="1" ht="13.5">
      <c r="A152" s="226" t="s">
        <v>227</v>
      </c>
      <c r="B152" s="227" t="s">
        <v>1838</v>
      </c>
      <c r="C152" s="552" t="s">
        <v>149</v>
      </c>
      <c r="D152" s="228">
        <v>8</v>
      </c>
      <c r="E152" s="189"/>
      <c r="F152" s="61">
        <f t="shared" si="9"/>
        <v>0</v>
      </c>
    </row>
    <row r="153" spans="1:6" s="283" customFormat="1" ht="13.5">
      <c r="A153" s="226" t="s">
        <v>228</v>
      </c>
      <c r="B153" s="227" t="s">
        <v>1839</v>
      </c>
      <c r="C153" s="552" t="s">
        <v>149</v>
      </c>
      <c r="D153" s="228">
        <v>1</v>
      </c>
      <c r="E153" s="189"/>
      <c r="F153" s="61">
        <f t="shared" si="9"/>
        <v>0</v>
      </c>
    </row>
    <row r="154" spans="1:6" s="283" customFormat="1" ht="13.5">
      <c r="A154" s="226" t="s">
        <v>229</v>
      </c>
      <c r="B154" s="227" t="s">
        <v>1840</v>
      </c>
      <c r="C154" s="552" t="s">
        <v>149</v>
      </c>
      <c r="D154" s="228">
        <v>1</v>
      </c>
      <c r="E154" s="189"/>
      <c r="F154" s="61">
        <f t="shared" si="9"/>
        <v>0</v>
      </c>
    </row>
    <row r="155" spans="1:6" s="283" customFormat="1" ht="13.5">
      <c r="A155" s="226" t="s">
        <v>238</v>
      </c>
      <c r="B155" s="227" t="s">
        <v>1841</v>
      </c>
      <c r="C155" s="552" t="s">
        <v>149</v>
      </c>
      <c r="D155" s="228">
        <v>1</v>
      </c>
      <c r="E155" s="189"/>
      <c r="F155" s="61">
        <f t="shared" si="9"/>
        <v>0</v>
      </c>
    </row>
    <row r="156" spans="1:6" s="283" customFormat="1" ht="13.5">
      <c r="A156" s="226" t="s">
        <v>239</v>
      </c>
      <c r="B156" s="227" t="s">
        <v>1842</v>
      </c>
      <c r="C156" s="552" t="s">
        <v>149</v>
      </c>
      <c r="D156" s="228">
        <v>7</v>
      </c>
      <c r="E156" s="189"/>
      <c r="F156" s="61">
        <f t="shared" si="9"/>
        <v>0</v>
      </c>
    </row>
    <row r="157" spans="1:6" s="283" customFormat="1" ht="13.5">
      <c r="A157" s="226" t="s">
        <v>1863</v>
      </c>
      <c r="B157" s="227" t="s">
        <v>1843</v>
      </c>
      <c r="C157" s="552" t="s">
        <v>149</v>
      </c>
      <c r="D157" s="228">
        <v>17</v>
      </c>
      <c r="E157" s="189"/>
      <c r="F157" s="61">
        <f t="shared" si="9"/>
        <v>0</v>
      </c>
    </row>
    <row r="158" spans="1:6" s="283" customFormat="1" ht="13.5">
      <c r="A158" s="226" t="s">
        <v>1864</v>
      </c>
      <c r="B158" s="227" t="s">
        <v>1844</v>
      </c>
      <c r="C158" s="552" t="s">
        <v>149</v>
      </c>
      <c r="D158" s="228">
        <v>117</v>
      </c>
      <c r="E158" s="189"/>
      <c r="F158" s="61">
        <f t="shared" si="9"/>
        <v>0</v>
      </c>
    </row>
    <row r="159" spans="1:6" s="283" customFormat="1" ht="13.5">
      <c r="A159" s="226" t="s">
        <v>1865</v>
      </c>
      <c r="B159" s="227" t="s">
        <v>1845</v>
      </c>
      <c r="C159" s="552" t="s">
        <v>149</v>
      </c>
      <c r="D159" s="228">
        <v>21</v>
      </c>
      <c r="E159" s="189"/>
      <c r="F159" s="61">
        <f t="shared" si="9"/>
        <v>0</v>
      </c>
    </row>
    <row r="160" spans="1:6" s="283" customFormat="1" ht="13.5">
      <c r="A160" s="226" t="s">
        <v>1866</v>
      </c>
      <c r="B160" s="227" t="s">
        <v>1846</v>
      </c>
      <c r="C160" s="552" t="s">
        <v>149</v>
      </c>
      <c r="D160" s="228">
        <v>2</v>
      </c>
      <c r="E160" s="189"/>
      <c r="F160" s="61">
        <f t="shared" si="9"/>
        <v>0</v>
      </c>
    </row>
    <row r="161" spans="1:6" s="283" customFormat="1" ht="13.5">
      <c r="A161" s="226" t="s">
        <v>1867</v>
      </c>
      <c r="B161" s="227" t="s">
        <v>1847</v>
      </c>
      <c r="C161" s="552" t="s">
        <v>149</v>
      </c>
      <c r="D161" s="228">
        <v>1</v>
      </c>
      <c r="E161" s="189"/>
      <c r="F161" s="61">
        <f t="shared" si="9"/>
        <v>0</v>
      </c>
    </row>
    <row r="162" spans="1:6" s="283" customFormat="1" ht="13.5">
      <c r="A162" s="226" t="s">
        <v>1868</v>
      </c>
      <c r="B162" s="227" t="s">
        <v>1848</v>
      </c>
      <c r="C162" s="552" t="s">
        <v>149</v>
      </c>
      <c r="D162" s="228">
        <v>15</v>
      </c>
      <c r="E162" s="189"/>
      <c r="F162" s="61">
        <f t="shared" si="9"/>
        <v>0</v>
      </c>
    </row>
    <row r="163" spans="1:6" s="283" customFormat="1" ht="13.5">
      <c r="A163" s="226" t="s">
        <v>1869</v>
      </c>
      <c r="B163" s="227" t="s">
        <v>1849</v>
      </c>
      <c r="C163" s="552" t="s">
        <v>149</v>
      </c>
      <c r="D163" s="228">
        <v>6</v>
      </c>
      <c r="E163" s="189"/>
      <c r="F163" s="61">
        <f t="shared" si="9"/>
        <v>0</v>
      </c>
    </row>
    <row r="164" spans="1:6" s="283" customFormat="1" ht="13.5">
      <c r="A164" s="226" t="s">
        <v>1870</v>
      </c>
      <c r="B164" s="227" t="s">
        <v>1850</v>
      </c>
      <c r="C164" s="552" t="s">
        <v>149</v>
      </c>
      <c r="D164" s="228">
        <v>11</v>
      </c>
      <c r="E164" s="189"/>
      <c r="F164" s="61">
        <f t="shared" si="9"/>
        <v>0</v>
      </c>
    </row>
    <row r="165" spans="1:6" s="283" customFormat="1" ht="13.5">
      <c r="A165" s="226" t="s">
        <v>1871</v>
      </c>
      <c r="B165" s="227" t="s">
        <v>1851</v>
      </c>
      <c r="C165" s="552" t="s">
        <v>149</v>
      </c>
      <c r="D165" s="228">
        <v>6</v>
      </c>
      <c r="E165" s="189"/>
      <c r="F165" s="61">
        <f t="shared" si="9"/>
        <v>0</v>
      </c>
    </row>
    <row r="166" spans="1:6" s="283" customFormat="1" ht="13.5">
      <c r="A166" s="226" t="s">
        <v>1872</v>
      </c>
      <c r="B166" s="227" t="s">
        <v>1852</v>
      </c>
      <c r="C166" s="552" t="s">
        <v>149</v>
      </c>
      <c r="D166" s="228">
        <v>1</v>
      </c>
      <c r="E166" s="189"/>
      <c r="F166" s="61">
        <f t="shared" si="9"/>
        <v>0</v>
      </c>
    </row>
    <row r="167" spans="1:6" s="283" customFormat="1" ht="13.5">
      <c r="A167" s="226" t="s">
        <v>1873</v>
      </c>
      <c r="B167" s="227" t="s">
        <v>1853</v>
      </c>
      <c r="C167" s="552" t="s">
        <v>149</v>
      </c>
      <c r="D167" s="228">
        <v>5</v>
      </c>
      <c r="E167" s="189"/>
      <c r="F167" s="61">
        <f t="shared" si="9"/>
        <v>0</v>
      </c>
    </row>
    <row r="168" spans="1:6" s="283" customFormat="1" ht="13.5">
      <c r="A168" s="226" t="s">
        <v>1874</v>
      </c>
      <c r="B168" s="227" t="s">
        <v>1854</v>
      </c>
      <c r="C168" s="552" t="s">
        <v>149</v>
      </c>
      <c r="D168" s="228">
        <v>5</v>
      </c>
      <c r="E168" s="189"/>
      <c r="F168" s="61">
        <f t="shared" si="9"/>
        <v>0</v>
      </c>
    </row>
    <row r="169" spans="1:6" s="283" customFormat="1" ht="13.5">
      <c r="A169" s="226" t="s">
        <v>1875</v>
      </c>
      <c r="B169" s="227" t="s">
        <v>1855</v>
      </c>
      <c r="C169" s="552" t="s">
        <v>149</v>
      </c>
      <c r="D169" s="228">
        <v>1</v>
      </c>
      <c r="E169" s="189"/>
      <c r="F169" s="61">
        <f t="shared" si="9"/>
        <v>0</v>
      </c>
    </row>
    <row r="170" spans="1:6" s="283" customFormat="1" ht="13.5">
      <c r="A170" s="226" t="s">
        <v>1876</v>
      </c>
      <c r="B170" s="227" t="s">
        <v>1856</v>
      </c>
      <c r="C170" s="552" t="s">
        <v>149</v>
      </c>
      <c r="D170" s="228">
        <v>261</v>
      </c>
      <c r="E170" s="189"/>
      <c r="F170" s="61">
        <f t="shared" si="9"/>
        <v>0</v>
      </c>
    </row>
    <row r="171" spans="1:6" s="283" customFormat="1" ht="13.5">
      <c r="A171" s="226" t="s">
        <v>1877</v>
      </c>
      <c r="B171" s="227" t="s">
        <v>1857</v>
      </c>
      <c r="C171" s="552" t="s">
        <v>149</v>
      </c>
      <c r="D171" s="228">
        <v>120</v>
      </c>
      <c r="E171" s="189"/>
      <c r="F171" s="61">
        <f t="shared" si="9"/>
        <v>0</v>
      </c>
    </row>
    <row r="172" spans="1:6" s="283" customFormat="1" ht="13.5">
      <c r="A172" s="226" t="s">
        <v>1878</v>
      </c>
      <c r="B172" s="227" t="s">
        <v>1858</v>
      </c>
      <c r="C172" s="552" t="s">
        <v>149</v>
      </c>
      <c r="D172" s="228">
        <v>3</v>
      </c>
      <c r="E172" s="189"/>
      <c r="F172" s="61">
        <f>E172*D172</f>
        <v>0</v>
      </c>
    </row>
    <row r="173" spans="1:6" s="283" customFormat="1" ht="13.5">
      <c r="A173" s="226" t="s">
        <v>1879</v>
      </c>
      <c r="B173" s="227" t="s">
        <v>1859</v>
      </c>
      <c r="C173" s="552" t="s">
        <v>149</v>
      </c>
      <c r="D173" s="228">
        <v>14</v>
      </c>
      <c r="E173" s="189"/>
      <c r="F173" s="61">
        <f t="shared" si="9"/>
        <v>0</v>
      </c>
    </row>
    <row r="174" spans="1:6" s="283" customFormat="1" ht="13.5">
      <c r="A174" s="226" t="s">
        <v>1880</v>
      </c>
      <c r="B174" s="227" t="s">
        <v>1860</v>
      </c>
      <c r="C174" s="552" t="s">
        <v>70</v>
      </c>
      <c r="D174" s="228">
        <v>35</v>
      </c>
      <c r="E174" s="189"/>
      <c r="F174" s="61">
        <f t="shared" si="9"/>
        <v>0</v>
      </c>
    </row>
    <row r="175" spans="1:6" s="283" customFormat="1" ht="13.5">
      <c r="A175" s="226" t="s">
        <v>1881</v>
      </c>
      <c r="B175" s="227" t="s">
        <v>1861</v>
      </c>
      <c r="C175" s="552" t="s">
        <v>70</v>
      </c>
      <c r="D175" s="228">
        <v>80</v>
      </c>
      <c r="E175" s="189"/>
      <c r="F175" s="61">
        <f>E175*D175</f>
        <v>0</v>
      </c>
    </row>
    <row r="176" spans="1:6" s="283" customFormat="1" ht="13.5">
      <c r="A176" s="226" t="s">
        <v>1882</v>
      </c>
      <c r="B176" s="227" t="s">
        <v>1862</v>
      </c>
      <c r="C176" s="552" t="s">
        <v>70</v>
      </c>
      <c r="D176" s="228">
        <v>50</v>
      </c>
      <c r="E176" s="189"/>
      <c r="F176" s="61">
        <f>E176*D176</f>
        <v>0</v>
      </c>
    </row>
    <row r="177" spans="1:6" s="283" customFormat="1" ht="13.5">
      <c r="A177" s="226" t="s">
        <v>2336</v>
      </c>
      <c r="B177" s="227" t="s">
        <v>2337</v>
      </c>
      <c r="C177" s="552" t="s">
        <v>149</v>
      </c>
      <c r="D177" s="228">
        <v>1</v>
      </c>
      <c r="E177" s="189"/>
      <c r="F177" s="61">
        <f>E177*D177</f>
        <v>0</v>
      </c>
    </row>
    <row r="178" spans="1:6" s="283" customFormat="1" ht="13.5">
      <c r="A178" s="229" t="s">
        <v>180</v>
      </c>
      <c r="B178" s="230" t="s">
        <v>1883</v>
      </c>
      <c r="C178" s="553"/>
      <c r="D178" s="231"/>
      <c r="E178" s="191"/>
      <c r="F178" s="60"/>
    </row>
    <row r="179" spans="1:6" s="283" customFormat="1" ht="13.5">
      <c r="A179" s="226" t="s">
        <v>222</v>
      </c>
      <c r="B179" s="227" t="s">
        <v>1884</v>
      </c>
      <c r="C179" s="552" t="s">
        <v>70</v>
      </c>
      <c r="D179" s="228">
        <v>1600</v>
      </c>
      <c r="E179" s="189"/>
      <c r="F179" s="61">
        <f aca="true" t="shared" si="10" ref="F179:F193">E179*D179</f>
        <v>0</v>
      </c>
    </row>
    <row r="180" spans="1:6" s="283" customFormat="1" ht="13.5">
      <c r="A180" s="226" t="s">
        <v>223</v>
      </c>
      <c r="B180" s="227" t="s">
        <v>1885</v>
      </c>
      <c r="C180" s="552" t="s">
        <v>70</v>
      </c>
      <c r="D180" s="228">
        <v>525</v>
      </c>
      <c r="E180" s="189"/>
      <c r="F180" s="61">
        <f>E180*D180</f>
        <v>0</v>
      </c>
    </row>
    <row r="181" spans="1:6" s="283" customFormat="1" ht="13.5">
      <c r="A181" s="226" t="s">
        <v>224</v>
      </c>
      <c r="B181" s="227" t="s">
        <v>1886</v>
      </c>
      <c r="C181" s="552" t="s">
        <v>70</v>
      </c>
      <c r="D181" s="228">
        <v>450</v>
      </c>
      <c r="E181" s="189"/>
      <c r="F181" s="61">
        <f t="shared" si="10"/>
        <v>0</v>
      </c>
    </row>
    <row r="182" spans="1:6" s="283" customFormat="1" ht="13.5">
      <c r="A182" s="226" t="s">
        <v>225</v>
      </c>
      <c r="B182" s="227" t="s">
        <v>1887</v>
      </c>
      <c r="C182" s="552" t="s">
        <v>70</v>
      </c>
      <c r="D182" s="228">
        <v>230</v>
      </c>
      <c r="E182" s="189"/>
      <c r="F182" s="61">
        <f t="shared" si="10"/>
        <v>0</v>
      </c>
    </row>
    <row r="183" spans="1:6" s="283" customFormat="1" ht="13.5">
      <c r="A183" s="226" t="s">
        <v>226</v>
      </c>
      <c r="B183" s="227" t="s">
        <v>1888</v>
      </c>
      <c r="C183" s="552" t="s">
        <v>70</v>
      </c>
      <c r="D183" s="228">
        <v>2050</v>
      </c>
      <c r="E183" s="189"/>
      <c r="F183" s="61">
        <f t="shared" si="10"/>
        <v>0</v>
      </c>
    </row>
    <row r="184" spans="1:6" s="283" customFormat="1" ht="13.5">
      <c r="A184" s="226" t="s">
        <v>265</v>
      </c>
      <c r="B184" s="227" t="s">
        <v>1889</v>
      </c>
      <c r="C184" s="552" t="s">
        <v>70</v>
      </c>
      <c r="D184" s="228">
        <v>1200</v>
      </c>
      <c r="E184" s="189"/>
      <c r="F184" s="61">
        <f t="shared" si="10"/>
        <v>0</v>
      </c>
    </row>
    <row r="185" spans="1:6" s="283" customFormat="1" ht="13.5">
      <c r="A185" s="226" t="s">
        <v>266</v>
      </c>
      <c r="B185" s="227" t="s">
        <v>1890</v>
      </c>
      <c r="C185" s="552" t="s">
        <v>70</v>
      </c>
      <c r="D185" s="228">
        <v>90</v>
      </c>
      <c r="E185" s="189"/>
      <c r="F185" s="61">
        <f t="shared" si="10"/>
        <v>0</v>
      </c>
    </row>
    <row r="186" spans="1:6" s="283" customFormat="1" ht="13.5">
      <c r="A186" s="226" t="s">
        <v>267</v>
      </c>
      <c r="B186" s="227" t="s">
        <v>1891</v>
      </c>
      <c r="C186" s="552" t="s">
        <v>70</v>
      </c>
      <c r="D186" s="228">
        <v>70</v>
      </c>
      <c r="E186" s="189"/>
      <c r="F186" s="61">
        <f t="shared" si="10"/>
        <v>0</v>
      </c>
    </row>
    <row r="187" spans="1:6" s="283" customFormat="1" ht="13.5">
      <c r="A187" s="226" t="s">
        <v>268</v>
      </c>
      <c r="B187" s="227" t="s">
        <v>1892</v>
      </c>
      <c r="C187" s="552" t="s">
        <v>70</v>
      </c>
      <c r="D187" s="228">
        <v>960</v>
      </c>
      <c r="E187" s="189"/>
      <c r="F187" s="61">
        <f t="shared" si="10"/>
        <v>0</v>
      </c>
    </row>
    <row r="188" spans="1:6" s="283" customFormat="1" ht="13.5">
      <c r="A188" s="226" t="s">
        <v>269</v>
      </c>
      <c r="B188" s="227" t="s">
        <v>1893</v>
      </c>
      <c r="C188" s="552" t="s">
        <v>70</v>
      </c>
      <c r="D188" s="228">
        <v>320</v>
      </c>
      <c r="E188" s="189"/>
      <c r="F188" s="61">
        <f t="shared" si="10"/>
        <v>0</v>
      </c>
    </row>
    <row r="189" spans="1:6" s="283" customFormat="1" ht="13.5">
      <c r="A189" s="226" t="s">
        <v>1898</v>
      </c>
      <c r="B189" s="227" t="s">
        <v>1894</v>
      </c>
      <c r="C189" s="552" t="s">
        <v>70</v>
      </c>
      <c r="D189" s="228">
        <v>1200</v>
      </c>
      <c r="E189" s="189"/>
      <c r="F189" s="61">
        <f>E189*D189</f>
        <v>0</v>
      </c>
    </row>
    <row r="190" spans="1:6" s="283" customFormat="1" ht="13.5">
      <c r="A190" s="226" t="s">
        <v>1899</v>
      </c>
      <c r="B190" s="227" t="s">
        <v>1895</v>
      </c>
      <c r="C190" s="552" t="s">
        <v>70</v>
      </c>
      <c r="D190" s="228">
        <v>150</v>
      </c>
      <c r="E190" s="189"/>
      <c r="F190" s="61">
        <f>E190*D190</f>
        <v>0</v>
      </c>
    </row>
    <row r="191" spans="1:6" s="283" customFormat="1" ht="13.5">
      <c r="A191" s="226" t="s">
        <v>1900</v>
      </c>
      <c r="B191" s="227" t="s">
        <v>1896</v>
      </c>
      <c r="C191" s="552" t="s">
        <v>70</v>
      </c>
      <c r="D191" s="228">
        <v>160</v>
      </c>
      <c r="E191" s="189"/>
      <c r="F191" s="61">
        <f>E191*D191</f>
        <v>0</v>
      </c>
    </row>
    <row r="192" spans="1:6" s="283" customFormat="1" ht="13.5">
      <c r="A192" s="226" t="s">
        <v>1901</v>
      </c>
      <c r="B192" s="227" t="s">
        <v>1897</v>
      </c>
      <c r="C192" s="552" t="s">
        <v>70</v>
      </c>
      <c r="D192" s="228">
        <v>35</v>
      </c>
      <c r="E192" s="189"/>
      <c r="F192" s="61">
        <f t="shared" si="10"/>
        <v>0</v>
      </c>
    </row>
    <row r="193" spans="1:6" s="283" customFormat="1" ht="13.5">
      <c r="A193" s="226" t="s">
        <v>1902</v>
      </c>
      <c r="B193" s="227" t="s">
        <v>597</v>
      </c>
      <c r="C193" s="552" t="s">
        <v>70</v>
      </c>
      <c r="D193" s="228">
        <v>30</v>
      </c>
      <c r="E193" s="189"/>
      <c r="F193" s="61">
        <f t="shared" si="10"/>
        <v>0</v>
      </c>
    </row>
    <row r="194" spans="1:6" s="283" customFormat="1" ht="13.5">
      <c r="A194" s="229" t="s">
        <v>181</v>
      </c>
      <c r="B194" s="230" t="s">
        <v>602</v>
      </c>
      <c r="C194" s="553"/>
      <c r="D194" s="231"/>
      <c r="E194" s="191"/>
      <c r="F194" s="60"/>
    </row>
    <row r="195" spans="1:6" s="283" customFormat="1" ht="13.5">
      <c r="A195" s="226" t="s">
        <v>230</v>
      </c>
      <c r="B195" s="227" t="s">
        <v>1904</v>
      </c>
      <c r="C195" s="552" t="s">
        <v>70</v>
      </c>
      <c r="D195" s="228">
        <v>420</v>
      </c>
      <c r="E195" s="189"/>
      <c r="F195" s="61">
        <f>E195*D195</f>
        <v>0</v>
      </c>
    </row>
    <row r="196" spans="1:6" s="283" customFormat="1" ht="13.5">
      <c r="A196" s="226" t="s">
        <v>231</v>
      </c>
      <c r="B196" s="227" t="s">
        <v>1905</v>
      </c>
      <c r="C196" s="552" t="s">
        <v>149</v>
      </c>
      <c r="D196" s="228">
        <v>5</v>
      </c>
      <c r="E196" s="189"/>
      <c r="F196" s="61">
        <f aca="true" t="shared" si="11" ref="F196:F205">E196*D196</f>
        <v>0</v>
      </c>
    </row>
    <row r="197" spans="1:6" s="283" customFormat="1" ht="13.5">
      <c r="A197" s="226" t="s">
        <v>1583</v>
      </c>
      <c r="B197" s="227" t="s">
        <v>1906</v>
      </c>
      <c r="C197" s="552" t="s">
        <v>149</v>
      </c>
      <c r="D197" s="228">
        <v>5</v>
      </c>
      <c r="E197" s="189"/>
      <c r="F197" s="61">
        <f t="shared" si="11"/>
        <v>0</v>
      </c>
    </row>
    <row r="198" spans="1:6" s="283" customFormat="1" ht="13.5">
      <c r="A198" s="226" t="s">
        <v>1929</v>
      </c>
      <c r="B198" s="227" t="s">
        <v>1907</v>
      </c>
      <c r="C198" s="552" t="s">
        <v>149</v>
      </c>
      <c r="D198" s="228">
        <v>5</v>
      </c>
      <c r="E198" s="189"/>
      <c r="F198" s="61">
        <f t="shared" si="11"/>
        <v>0</v>
      </c>
    </row>
    <row r="199" spans="1:6" s="283" customFormat="1" ht="13.5">
      <c r="A199" s="226" t="s">
        <v>1930</v>
      </c>
      <c r="B199" s="227" t="s">
        <v>1908</v>
      </c>
      <c r="C199" s="552" t="s">
        <v>149</v>
      </c>
      <c r="D199" s="228">
        <v>240</v>
      </c>
      <c r="E199" s="189"/>
      <c r="F199" s="61">
        <f t="shared" si="11"/>
        <v>0</v>
      </c>
    </row>
    <row r="200" spans="1:6" s="283" customFormat="1" ht="13.5">
      <c r="A200" s="226" t="s">
        <v>1931</v>
      </c>
      <c r="B200" s="227" t="s">
        <v>1909</v>
      </c>
      <c r="C200" s="552" t="s">
        <v>149</v>
      </c>
      <c r="D200" s="228">
        <v>11</v>
      </c>
      <c r="E200" s="189"/>
      <c r="F200" s="61">
        <f t="shared" si="11"/>
        <v>0</v>
      </c>
    </row>
    <row r="201" spans="1:6" s="283" customFormat="1" ht="13.5">
      <c r="A201" s="226" t="s">
        <v>1932</v>
      </c>
      <c r="B201" s="227" t="s">
        <v>1910</v>
      </c>
      <c r="C201" s="552" t="s">
        <v>149</v>
      </c>
      <c r="D201" s="228">
        <v>110</v>
      </c>
      <c r="E201" s="189"/>
      <c r="F201" s="61">
        <f t="shared" si="11"/>
        <v>0</v>
      </c>
    </row>
    <row r="202" spans="1:6" s="283" customFormat="1" ht="13.5">
      <c r="A202" s="226" t="s">
        <v>1933</v>
      </c>
      <c r="B202" s="227" t="s">
        <v>1911</v>
      </c>
      <c r="C202" s="552" t="s">
        <v>149</v>
      </c>
      <c r="D202" s="228">
        <v>11</v>
      </c>
      <c r="E202" s="189"/>
      <c r="F202" s="61">
        <f t="shared" si="11"/>
        <v>0</v>
      </c>
    </row>
    <row r="203" spans="1:6" s="283" customFormat="1" ht="13.5">
      <c r="A203" s="226" t="s">
        <v>1934</v>
      </c>
      <c r="B203" s="227" t="s">
        <v>1912</v>
      </c>
      <c r="C203" s="552" t="s">
        <v>149</v>
      </c>
      <c r="D203" s="228">
        <v>7</v>
      </c>
      <c r="E203" s="189"/>
      <c r="F203" s="61">
        <f t="shared" si="11"/>
        <v>0</v>
      </c>
    </row>
    <row r="204" spans="1:6" s="283" customFormat="1" ht="13.5">
      <c r="A204" s="226" t="s">
        <v>1935</v>
      </c>
      <c r="B204" s="227" t="s">
        <v>1913</v>
      </c>
      <c r="C204" s="552" t="s">
        <v>149</v>
      </c>
      <c r="D204" s="228">
        <v>6</v>
      </c>
      <c r="E204" s="189"/>
      <c r="F204" s="61">
        <f t="shared" si="11"/>
        <v>0</v>
      </c>
    </row>
    <row r="205" spans="1:6" s="283" customFormat="1" ht="13.5">
      <c r="A205" s="226" t="s">
        <v>1936</v>
      </c>
      <c r="B205" s="227" t="s">
        <v>1914</v>
      </c>
      <c r="C205" s="552" t="s">
        <v>149</v>
      </c>
      <c r="D205" s="228">
        <v>8</v>
      </c>
      <c r="E205" s="189"/>
      <c r="F205" s="61">
        <f t="shared" si="11"/>
        <v>0</v>
      </c>
    </row>
    <row r="206" spans="1:6" s="283" customFormat="1" ht="13.5">
      <c r="A206" s="226" t="s">
        <v>1937</v>
      </c>
      <c r="B206" s="227" t="s">
        <v>1915</v>
      </c>
      <c r="C206" s="552" t="s">
        <v>149</v>
      </c>
      <c r="D206" s="228">
        <v>11</v>
      </c>
      <c r="E206" s="189"/>
      <c r="F206" s="61">
        <f>E206*D206</f>
        <v>0</v>
      </c>
    </row>
    <row r="207" spans="1:6" s="283" customFormat="1" ht="13.5">
      <c r="A207" s="229" t="s">
        <v>182</v>
      </c>
      <c r="B207" s="230" t="s">
        <v>1903</v>
      </c>
      <c r="C207" s="553"/>
      <c r="D207" s="63"/>
      <c r="E207" s="191"/>
      <c r="F207" s="60"/>
    </row>
    <row r="208" spans="1:6" s="283" customFormat="1" ht="13.5">
      <c r="A208" s="226" t="s">
        <v>232</v>
      </c>
      <c r="B208" s="227" t="s">
        <v>1916</v>
      </c>
      <c r="C208" s="552" t="s">
        <v>70</v>
      </c>
      <c r="D208" s="228">
        <v>120</v>
      </c>
      <c r="E208" s="189"/>
      <c r="F208" s="61">
        <f aca="true" t="shared" si="12" ref="F208:F213">E208*D208</f>
        <v>0</v>
      </c>
    </row>
    <row r="209" spans="1:6" s="283" customFormat="1" ht="13.5">
      <c r="A209" s="226" t="s">
        <v>233</v>
      </c>
      <c r="B209" s="227" t="s">
        <v>1917</v>
      </c>
      <c r="C209" s="552" t="s">
        <v>70</v>
      </c>
      <c r="D209" s="228">
        <v>125</v>
      </c>
      <c r="E209" s="189"/>
      <c r="F209" s="61">
        <f t="shared" si="12"/>
        <v>0</v>
      </c>
    </row>
    <row r="210" spans="1:6" s="283" customFormat="1" ht="13.5">
      <c r="A210" s="226" t="s">
        <v>234</v>
      </c>
      <c r="B210" s="227" t="s">
        <v>1918</v>
      </c>
      <c r="C210" s="552" t="s">
        <v>149</v>
      </c>
      <c r="D210" s="228">
        <v>12</v>
      </c>
      <c r="E210" s="189"/>
      <c r="F210" s="61">
        <f t="shared" si="12"/>
        <v>0</v>
      </c>
    </row>
    <row r="211" spans="1:6" s="283" customFormat="1" ht="13.5">
      <c r="A211" s="226" t="s">
        <v>1926</v>
      </c>
      <c r="B211" s="227" t="s">
        <v>1919</v>
      </c>
      <c r="C211" s="552" t="s">
        <v>149</v>
      </c>
      <c r="D211" s="228">
        <v>12</v>
      </c>
      <c r="E211" s="189"/>
      <c r="F211" s="61">
        <f t="shared" si="12"/>
        <v>0</v>
      </c>
    </row>
    <row r="212" spans="1:6" s="283" customFormat="1" ht="13.5">
      <c r="A212" s="226" t="s">
        <v>1927</v>
      </c>
      <c r="B212" s="227" t="s">
        <v>1920</v>
      </c>
      <c r="C212" s="552" t="s">
        <v>149</v>
      </c>
      <c r="D212" s="228">
        <v>1</v>
      </c>
      <c r="E212" s="189"/>
      <c r="F212" s="61">
        <f t="shared" si="12"/>
        <v>0</v>
      </c>
    </row>
    <row r="213" spans="1:6" s="283" customFormat="1" ht="13.5">
      <c r="A213" s="226" t="s">
        <v>1928</v>
      </c>
      <c r="B213" s="227" t="s">
        <v>1921</v>
      </c>
      <c r="C213" s="552" t="s">
        <v>149</v>
      </c>
      <c r="D213" s="228">
        <v>2</v>
      </c>
      <c r="E213" s="189"/>
      <c r="F213" s="61">
        <f t="shared" si="12"/>
        <v>0</v>
      </c>
    </row>
    <row r="214" spans="1:6" s="283" customFormat="1" ht="13.5">
      <c r="A214" s="229" t="s">
        <v>183</v>
      </c>
      <c r="B214" s="230" t="s">
        <v>270</v>
      </c>
      <c r="C214" s="553"/>
      <c r="D214" s="63"/>
      <c r="E214" s="191"/>
      <c r="F214" s="60"/>
    </row>
    <row r="215" spans="1:6" s="283" customFormat="1" ht="13.5">
      <c r="A215" s="226" t="s">
        <v>235</v>
      </c>
      <c r="B215" s="318" t="s">
        <v>1922</v>
      </c>
      <c r="C215" s="552" t="s">
        <v>72</v>
      </c>
      <c r="D215" s="62">
        <f>SUM(F10:F214)</f>
        <v>0</v>
      </c>
      <c r="E215" s="382"/>
      <c r="F215" s="61">
        <f>E215*D215</f>
        <v>0</v>
      </c>
    </row>
    <row r="216" spans="1:6" s="283" customFormat="1" ht="13.5">
      <c r="A216" s="226" t="s">
        <v>236</v>
      </c>
      <c r="B216" s="318" t="s">
        <v>596</v>
      </c>
      <c r="C216" s="552" t="s">
        <v>149</v>
      </c>
      <c r="D216" s="62">
        <v>1</v>
      </c>
      <c r="E216" s="190"/>
      <c r="F216" s="61">
        <f>E216*D216</f>
        <v>0</v>
      </c>
    </row>
    <row r="217" spans="1:6" s="283" customFormat="1" ht="13.5">
      <c r="A217" s="226" t="s">
        <v>598</v>
      </c>
      <c r="B217" s="318" t="s">
        <v>1923</v>
      </c>
      <c r="C217" s="552" t="s">
        <v>149</v>
      </c>
      <c r="D217" s="62">
        <v>1</v>
      </c>
      <c r="E217" s="190"/>
      <c r="F217" s="61">
        <f>E217*D217</f>
        <v>0</v>
      </c>
    </row>
    <row r="218" spans="1:6" s="283" customFormat="1" ht="13.5">
      <c r="A218" s="226" t="s">
        <v>599</v>
      </c>
      <c r="B218" s="318" t="s">
        <v>1985</v>
      </c>
      <c r="C218" s="552" t="s">
        <v>149</v>
      </c>
      <c r="D218" s="62">
        <v>1</v>
      </c>
      <c r="E218" s="190"/>
      <c r="F218" s="61">
        <f>D218*E218</f>
        <v>0</v>
      </c>
    </row>
    <row r="219" spans="1:6" s="283" customFormat="1" ht="13.5">
      <c r="A219" s="226" t="s">
        <v>600</v>
      </c>
      <c r="B219" s="318" t="s">
        <v>580</v>
      </c>
      <c r="C219" s="552" t="s">
        <v>589</v>
      </c>
      <c r="D219" s="62">
        <v>30</v>
      </c>
      <c r="E219" s="190"/>
      <c r="F219" s="61">
        <f>D219*E219</f>
        <v>0</v>
      </c>
    </row>
    <row r="220" spans="1:6" s="283" customFormat="1" ht="13.5">
      <c r="A220" s="226" t="s">
        <v>601</v>
      </c>
      <c r="B220" s="318" t="s">
        <v>581</v>
      </c>
      <c r="C220" s="552" t="s">
        <v>519</v>
      </c>
      <c r="D220" s="62">
        <v>4</v>
      </c>
      <c r="E220" s="190"/>
      <c r="F220" s="61">
        <f>D220*E220</f>
        <v>0</v>
      </c>
    </row>
    <row r="221" spans="1:6" s="283" customFormat="1" ht="13.5">
      <c r="A221" s="226" t="s">
        <v>1986</v>
      </c>
      <c r="B221" s="318" t="s">
        <v>582</v>
      </c>
      <c r="C221" s="552" t="s">
        <v>589</v>
      </c>
      <c r="D221" s="62">
        <v>10</v>
      </c>
      <c r="E221" s="190"/>
      <c r="F221" s="61">
        <f>D221*E221</f>
        <v>0</v>
      </c>
    </row>
    <row r="222" spans="4:6" s="284" customFormat="1" ht="12.75">
      <c r="D222" s="285"/>
      <c r="E222" s="408"/>
      <c r="F222" s="286"/>
    </row>
    <row r="223" spans="1:6" s="287" customFormat="1" ht="12.75">
      <c r="A223" s="741" t="s">
        <v>152</v>
      </c>
      <c r="B223" s="742"/>
      <c r="C223" s="742"/>
      <c r="D223" s="742"/>
      <c r="E223" s="743">
        <f>SUM(F10:F222)</f>
        <v>0</v>
      </c>
      <c r="F223" s="744"/>
    </row>
    <row r="224" spans="1:6" ht="13.5">
      <c r="A224" s="288"/>
      <c r="B224" s="288"/>
      <c r="C224" s="288"/>
      <c r="D224" s="289"/>
      <c r="E224" s="290"/>
      <c r="F224" s="290"/>
    </row>
    <row r="225" spans="1:6" ht="13.5">
      <c r="A225" s="740" t="s">
        <v>271</v>
      </c>
      <c r="B225" s="740"/>
      <c r="C225" s="740"/>
      <c r="D225" s="740"/>
      <c r="E225" s="740"/>
      <c r="F225" s="740"/>
    </row>
    <row r="226" spans="1:6" s="284" customFormat="1" ht="12.75">
      <c r="A226" s="739" t="s">
        <v>272</v>
      </c>
      <c r="B226" s="739"/>
      <c r="C226" s="739"/>
      <c r="D226" s="739"/>
      <c r="E226" s="739"/>
      <c r="F226" s="739"/>
    </row>
    <row r="227" spans="1:6" ht="12.75">
      <c r="A227" s="739" t="s">
        <v>273</v>
      </c>
      <c r="B227" s="739"/>
      <c r="C227" s="739"/>
      <c r="D227" s="739"/>
      <c r="E227" s="739"/>
      <c r="F227" s="739"/>
    </row>
  </sheetData>
  <mergeCells count="6">
    <mergeCell ref="A4:D4"/>
    <mergeCell ref="A227:F227"/>
    <mergeCell ref="A226:F226"/>
    <mergeCell ref="A225:F225"/>
    <mergeCell ref="A223:D223"/>
    <mergeCell ref="E223:F22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  <headerFooter>
    <oddHeader>&amp;LBD Hübnerové&amp;ROdhad stavebních nákladů</oddHeader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view="pageBreakPreview" zoomScaleSheetLayoutView="100" workbookViewId="0" topLeftCell="A1">
      <selection activeCell="B3" sqref="B3"/>
    </sheetView>
  </sheetViews>
  <sheetFormatPr defaultColWidth="10.66015625" defaultRowHeight="13.5"/>
  <cols>
    <col min="1" max="1" width="13.5" style="292" customWidth="1"/>
    <col min="2" max="2" width="84.66015625" style="293" customWidth="1"/>
    <col min="3" max="3" width="10" style="294" customWidth="1"/>
    <col min="4" max="4" width="18.16015625" style="295" customWidth="1"/>
    <col min="5" max="5" width="18.16015625" style="296" customWidth="1"/>
    <col min="6" max="6" width="21" style="297" customWidth="1"/>
    <col min="7" max="7" width="15.16015625" style="291" customWidth="1"/>
    <col min="8" max="16384" width="10.66015625" style="291" customWidth="1"/>
  </cols>
  <sheetData>
    <row r="1" spans="1:6" s="543" customFormat="1" ht="15">
      <c r="A1" s="542" t="s">
        <v>3</v>
      </c>
      <c r="B1" s="542" t="str">
        <f>Rekapitulace!K4</f>
        <v>Stavební úpravy, vestavba a přístavba stávajícího objektu</v>
      </c>
      <c r="C1" s="542"/>
      <c r="D1" s="233"/>
      <c r="E1" s="235"/>
      <c r="F1" s="232"/>
    </row>
    <row r="2" spans="1:6" s="543" customFormat="1" ht="12.75">
      <c r="A2" s="544"/>
      <c r="B2" s="545"/>
      <c r="D2" s="236"/>
      <c r="E2" s="232"/>
      <c r="F2" s="232"/>
    </row>
    <row r="3" spans="2:6" s="546" customFormat="1" ht="13.5">
      <c r="B3" s="547" t="s">
        <v>127</v>
      </c>
      <c r="C3" s="547"/>
      <c r="D3" s="234"/>
      <c r="E3" s="273"/>
      <c r="F3" s="274"/>
    </row>
    <row r="4" spans="1:6" s="546" customFormat="1" ht="13.5">
      <c r="A4" s="738"/>
      <c r="B4" s="738"/>
      <c r="C4" s="738"/>
      <c r="D4" s="738"/>
      <c r="E4" s="274"/>
      <c r="F4" s="274"/>
    </row>
    <row r="5" spans="2:6" s="542" customFormat="1" ht="15">
      <c r="B5" s="542" t="s">
        <v>1954</v>
      </c>
      <c r="D5" s="233"/>
      <c r="E5" s="235"/>
      <c r="F5" s="235"/>
    </row>
    <row r="6" spans="1:6" s="542" customFormat="1" ht="15.75" thickBot="1">
      <c r="A6" s="548"/>
      <c r="B6" s="549"/>
      <c r="C6" s="548"/>
      <c r="D6" s="275"/>
      <c r="E6" s="276"/>
      <c r="F6" s="235"/>
    </row>
    <row r="7" spans="1:6" s="551" customFormat="1" ht="15.75" thickBot="1">
      <c r="A7" s="550" t="s">
        <v>11</v>
      </c>
      <c r="B7" s="277">
        <f>Rekapitulace!K11</f>
        <v>0</v>
      </c>
      <c r="C7" s="548"/>
      <c r="D7" s="275"/>
      <c r="E7" s="276"/>
      <c r="F7" s="278"/>
    </row>
    <row r="8" spans="1:11" s="283" customFormat="1" ht="15">
      <c r="A8" s="279"/>
      <c r="B8" s="279"/>
      <c r="C8" s="279"/>
      <c r="D8" s="280"/>
      <c r="E8" s="281"/>
      <c r="F8" s="281"/>
      <c r="G8" s="282"/>
      <c r="H8" s="282"/>
      <c r="I8" s="282"/>
      <c r="J8" s="282"/>
      <c r="K8" s="282"/>
    </row>
    <row r="9" spans="1:6" s="283" customFormat="1" ht="13.5">
      <c r="A9" s="240"/>
      <c r="B9" s="241" t="s">
        <v>163</v>
      </c>
      <c r="C9" s="242" t="s">
        <v>61</v>
      </c>
      <c r="D9" s="57" t="s">
        <v>131</v>
      </c>
      <c r="E9" s="554" t="s">
        <v>264</v>
      </c>
      <c r="F9" s="57" t="s">
        <v>164</v>
      </c>
    </row>
    <row r="10" spans="1:6" s="283" customFormat="1" ht="12.75">
      <c r="A10" s="243" t="s">
        <v>148</v>
      </c>
      <c r="B10" s="244" t="s">
        <v>1924</v>
      </c>
      <c r="C10" s="244"/>
      <c r="D10" s="58"/>
      <c r="E10" s="407"/>
      <c r="F10" s="59"/>
    </row>
    <row r="11" spans="1:6" s="283" customFormat="1" ht="13.5">
      <c r="A11" s="226" t="s">
        <v>153</v>
      </c>
      <c r="B11" s="227" t="s">
        <v>1938</v>
      </c>
      <c r="C11" s="552" t="s">
        <v>149</v>
      </c>
      <c r="D11" s="228">
        <v>1</v>
      </c>
      <c r="E11" s="189"/>
      <c r="F11" s="61">
        <f>E11*D11</f>
        <v>0</v>
      </c>
    </row>
    <row r="12" spans="1:6" s="283" customFormat="1" ht="13.5">
      <c r="A12" s="226" t="s">
        <v>154</v>
      </c>
      <c r="B12" s="227" t="s">
        <v>1939</v>
      </c>
      <c r="C12" s="552" t="s">
        <v>149</v>
      </c>
      <c r="D12" s="228">
        <v>1</v>
      </c>
      <c r="E12" s="189"/>
      <c r="F12" s="61">
        <f aca="true" t="shared" si="0" ref="F12:F18">E12*D12</f>
        <v>0</v>
      </c>
    </row>
    <row r="13" spans="1:6" s="283" customFormat="1" ht="13.5">
      <c r="A13" s="226" t="s">
        <v>154</v>
      </c>
      <c r="B13" s="227" t="s">
        <v>1940</v>
      </c>
      <c r="C13" s="552" t="s">
        <v>149</v>
      </c>
      <c r="D13" s="228">
        <v>1</v>
      </c>
      <c r="E13" s="189"/>
      <c r="F13" s="61">
        <f t="shared" si="0"/>
        <v>0</v>
      </c>
    </row>
    <row r="14" spans="1:6" s="283" customFormat="1" ht="13.5">
      <c r="A14" s="226" t="s">
        <v>154</v>
      </c>
      <c r="B14" s="227" t="s">
        <v>1941</v>
      </c>
      <c r="C14" s="552" t="s">
        <v>149</v>
      </c>
      <c r="D14" s="228">
        <v>5</v>
      </c>
      <c r="E14" s="189"/>
      <c r="F14" s="61">
        <f t="shared" si="0"/>
        <v>0</v>
      </c>
    </row>
    <row r="15" spans="1:6" s="283" customFormat="1" ht="13.5">
      <c r="A15" s="226" t="s">
        <v>154</v>
      </c>
      <c r="B15" s="227" t="s">
        <v>1942</v>
      </c>
      <c r="C15" s="552" t="s">
        <v>149</v>
      </c>
      <c r="D15" s="228">
        <v>21</v>
      </c>
      <c r="E15" s="189"/>
      <c r="F15" s="61">
        <f t="shared" si="0"/>
        <v>0</v>
      </c>
    </row>
    <row r="16" spans="1:6" s="283" customFormat="1" ht="13.5">
      <c r="A16" s="226" t="s">
        <v>154</v>
      </c>
      <c r="B16" s="227" t="s">
        <v>1943</v>
      </c>
      <c r="C16" s="552" t="s">
        <v>149</v>
      </c>
      <c r="D16" s="228">
        <v>6</v>
      </c>
      <c r="E16" s="189"/>
      <c r="F16" s="61">
        <f t="shared" si="0"/>
        <v>0</v>
      </c>
    </row>
    <row r="17" spans="1:6" s="283" customFormat="1" ht="13.5">
      <c r="A17" s="226" t="s">
        <v>154</v>
      </c>
      <c r="B17" s="227" t="s">
        <v>1944</v>
      </c>
      <c r="C17" s="552" t="s">
        <v>149</v>
      </c>
      <c r="D17" s="228">
        <v>2</v>
      </c>
      <c r="E17" s="189"/>
      <c r="F17" s="61">
        <f t="shared" si="0"/>
        <v>0</v>
      </c>
    </row>
    <row r="18" spans="1:6" s="283" customFormat="1" ht="13.5">
      <c r="A18" s="226" t="s">
        <v>154</v>
      </c>
      <c r="B18" s="227" t="s">
        <v>1945</v>
      </c>
      <c r="C18" s="552" t="s">
        <v>149</v>
      </c>
      <c r="D18" s="228">
        <v>1</v>
      </c>
      <c r="E18" s="189"/>
      <c r="F18" s="61">
        <f t="shared" si="0"/>
        <v>0</v>
      </c>
    </row>
    <row r="19" spans="1:6" s="283" customFormat="1" ht="13.5">
      <c r="A19" s="226" t="s">
        <v>154</v>
      </c>
      <c r="B19" s="227" t="s">
        <v>1946</v>
      </c>
      <c r="C19" s="552" t="s">
        <v>149</v>
      </c>
      <c r="D19" s="228">
        <v>1</v>
      </c>
      <c r="E19" s="189"/>
      <c r="F19" s="61">
        <f>E19*D19</f>
        <v>0</v>
      </c>
    </row>
    <row r="20" spans="1:6" s="283" customFormat="1" ht="13.5">
      <c r="A20" s="229" t="s">
        <v>150</v>
      </c>
      <c r="B20" s="230" t="s">
        <v>1925</v>
      </c>
      <c r="C20" s="553"/>
      <c r="D20" s="63"/>
      <c r="E20" s="191"/>
      <c r="F20" s="60"/>
    </row>
    <row r="21" spans="1:6" s="283" customFormat="1" ht="13.5">
      <c r="A21" s="226" t="s">
        <v>215</v>
      </c>
      <c r="B21" s="227" t="s">
        <v>1947</v>
      </c>
      <c r="C21" s="552" t="s">
        <v>149</v>
      </c>
      <c r="D21" s="228">
        <v>1</v>
      </c>
      <c r="E21" s="189"/>
      <c r="F21" s="61">
        <f aca="true" t="shared" si="1" ref="F21:F26">E21*D21</f>
        <v>0</v>
      </c>
    </row>
    <row r="22" spans="1:6" s="283" customFormat="1" ht="13.5">
      <c r="A22" s="226" t="s">
        <v>217</v>
      </c>
      <c r="B22" s="227" t="s">
        <v>1948</v>
      </c>
      <c r="C22" s="552" t="s">
        <v>149</v>
      </c>
      <c r="D22" s="228">
        <v>1</v>
      </c>
      <c r="E22" s="189"/>
      <c r="F22" s="61">
        <f t="shared" si="1"/>
        <v>0</v>
      </c>
    </row>
    <row r="23" spans="1:6" s="283" customFormat="1" ht="13.5">
      <c r="A23" s="226" t="s">
        <v>217</v>
      </c>
      <c r="B23" s="227" t="s">
        <v>1949</v>
      </c>
      <c r="C23" s="552" t="s">
        <v>149</v>
      </c>
      <c r="D23" s="228">
        <v>1</v>
      </c>
      <c r="E23" s="189"/>
      <c r="F23" s="61">
        <f t="shared" si="1"/>
        <v>0</v>
      </c>
    </row>
    <row r="24" spans="1:6" s="283" customFormat="1" ht="13.5">
      <c r="A24" s="226" t="s">
        <v>217</v>
      </c>
      <c r="B24" s="227" t="s">
        <v>1950</v>
      </c>
      <c r="C24" s="552" t="s">
        <v>149</v>
      </c>
      <c r="D24" s="228">
        <v>5</v>
      </c>
      <c r="E24" s="189"/>
      <c r="F24" s="61">
        <f t="shared" si="1"/>
        <v>0</v>
      </c>
    </row>
    <row r="25" spans="1:6" s="283" customFormat="1" ht="13.5">
      <c r="A25" s="226" t="s">
        <v>216</v>
      </c>
      <c r="B25" s="227" t="s">
        <v>1951</v>
      </c>
      <c r="C25" s="552" t="s">
        <v>149</v>
      </c>
      <c r="D25" s="228">
        <v>5</v>
      </c>
      <c r="E25" s="189"/>
      <c r="F25" s="61">
        <f t="shared" si="1"/>
        <v>0</v>
      </c>
    </row>
    <row r="26" spans="1:6" s="283" customFormat="1" ht="13.5">
      <c r="A26" s="226" t="s">
        <v>219</v>
      </c>
      <c r="B26" s="227" t="s">
        <v>1946</v>
      </c>
      <c r="C26" s="552" t="s">
        <v>149</v>
      </c>
      <c r="D26" s="228">
        <v>1</v>
      </c>
      <c r="E26" s="189"/>
      <c r="F26" s="61">
        <f t="shared" si="1"/>
        <v>0</v>
      </c>
    </row>
    <row r="27" spans="1:6" s="283" customFormat="1" ht="13.5">
      <c r="A27" s="229" t="s">
        <v>151</v>
      </c>
      <c r="B27" s="230" t="s">
        <v>1883</v>
      </c>
      <c r="C27" s="553"/>
      <c r="D27" s="63"/>
      <c r="E27" s="191"/>
      <c r="F27" s="60"/>
    </row>
    <row r="28" spans="1:6" s="283" customFormat="1" ht="13.5">
      <c r="A28" s="226" t="s">
        <v>215</v>
      </c>
      <c r="B28" s="227" t="s">
        <v>1894</v>
      </c>
      <c r="C28" s="552" t="s">
        <v>70</v>
      </c>
      <c r="D28" s="228">
        <v>1500</v>
      </c>
      <c r="E28" s="189"/>
      <c r="F28" s="61">
        <f>E28*D28</f>
        <v>0</v>
      </c>
    </row>
    <row r="29" spans="1:6" s="283" customFormat="1" ht="13.5">
      <c r="A29" s="226" t="s">
        <v>217</v>
      </c>
      <c r="B29" s="227" t="s">
        <v>1895</v>
      </c>
      <c r="C29" s="552" t="s">
        <v>70</v>
      </c>
      <c r="D29" s="228">
        <v>150</v>
      </c>
      <c r="E29" s="189"/>
      <c r="F29" s="61">
        <f>E29*D29</f>
        <v>0</v>
      </c>
    </row>
    <row r="30" spans="1:6" s="283" customFormat="1" ht="13.5">
      <c r="A30" s="226" t="s">
        <v>216</v>
      </c>
      <c r="B30" s="227" t="s">
        <v>1896</v>
      </c>
      <c r="C30" s="552" t="s">
        <v>70</v>
      </c>
      <c r="D30" s="228">
        <v>5</v>
      </c>
      <c r="E30" s="189"/>
      <c r="F30" s="61">
        <f>E30*D30</f>
        <v>0</v>
      </c>
    </row>
    <row r="31" spans="1:6" s="283" customFormat="1" ht="13.5">
      <c r="A31" s="229" t="s">
        <v>151</v>
      </c>
      <c r="B31" s="230" t="s">
        <v>270</v>
      </c>
      <c r="C31" s="553"/>
      <c r="D31" s="63"/>
      <c r="E31" s="191"/>
      <c r="F31" s="60"/>
    </row>
    <row r="32" spans="1:6" s="283" customFormat="1" ht="13.5">
      <c r="A32" s="226" t="s">
        <v>221</v>
      </c>
      <c r="B32" s="318" t="s">
        <v>1922</v>
      </c>
      <c r="C32" s="552" t="s">
        <v>72</v>
      </c>
      <c r="D32" s="62">
        <f>SUM(F10:F31)</f>
        <v>0</v>
      </c>
      <c r="E32" s="317"/>
      <c r="F32" s="61">
        <f>E32*D32</f>
        <v>0</v>
      </c>
    </row>
    <row r="33" spans="1:6" s="283" customFormat="1" ht="13.5">
      <c r="A33" s="226" t="s">
        <v>227</v>
      </c>
      <c r="B33" s="318" t="s">
        <v>580</v>
      </c>
      <c r="C33" s="552" t="s">
        <v>589</v>
      </c>
      <c r="D33" s="62">
        <v>20</v>
      </c>
      <c r="E33" s="190"/>
      <c r="F33" s="61">
        <f>E33*D33</f>
        <v>0</v>
      </c>
    </row>
    <row r="34" spans="1:6" s="283" customFormat="1" ht="13.5">
      <c r="A34" s="226" t="s">
        <v>228</v>
      </c>
      <c r="B34" s="318" t="s">
        <v>581</v>
      </c>
      <c r="C34" s="552" t="s">
        <v>519</v>
      </c>
      <c r="D34" s="62">
        <v>4</v>
      </c>
      <c r="E34" s="190"/>
      <c r="F34" s="61">
        <f>E34*D34</f>
        <v>0</v>
      </c>
    </row>
    <row r="35" spans="1:6" s="283" customFormat="1" ht="13.5">
      <c r="A35" s="226" t="s">
        <v>601</v>
      </c>
      <c r="B35" s="318" t="s">
        <v>582</v>
      </c>
      <c r="C35" s="552" t="s">
        <v>589</v>
      </c>
      <c r="D35" s="62">
        <v>5</v>
      </c>
      <c r="E35" s="190"/>
      <c r="F35" s="61">
        <f>D35*E35</f>
        <v>0</v>
      </c>
    </row>
    <row r="36" spans="4:6" s="284" customFormat="1" ht="12.75">
      <c r="D36" s="285"/>
      <c r="E36" s="408"/>
      <c r="F36" s="286"/>
    </row>
    <row r="37" spans="1:6" s="287" customFormat="1" ht="12.75">
      <c r="A37" s="741" t="s">
        <v>152</v>
      </c>
      <c r="B37" s="742"/>
      <c r="C37" s="742"/>
      <c r="D37" s="742"/>
      <c r="E37" s="743">
        <f>SUM(F10:F36)</f>
        <v>0</v>
      </c>
      <c r="F37" s="744"/>
    </row>
    <row r="38" spans="1:6" ht="13.5">
      <c r="A38" s="288"/>
      <c r="B38" s="288"/>
      <c r="C38" s="288"/>
      <c r="D38" s="289"/>
      <c r="E38" s="290"/>
      <c r="F38" s="290"/>
    </row>
    <row r="39" spans="1:6" ht="13.5">
      <c r="A39" s="740" t="s">
        <v>271</v>
      </c>
      <c r="B39" s="740"/>
      <c r="C39" s="740"/>
      <c r="D39" s="740"/>
      <c r="E39" s="740"/>
      <c r="F39" s="740"/>
    </row>
    <row r="40" spans="1:6" s="284" customFormat="1" ht="12.75">
      <c r="A40" s="739" t="s">
        <v>272</v>
      </c>
      <c r="B40" s="739"/>
      <c r="C40" s="739"/>
      <c r="D40" s="739"/>
      <c r="E40" s="739"/>
      <c r="F40" s="739"/>
    </row>
    <row r="41" spans="1:6" ht="12.75">
      <c r="A41" s="739" t="s">
        <v>273</v>
      </c>
      <c r="B41" s="739"/>
      <c r="C41" s="739"/>
      <c r="D41" s="739"/>
      <c r="E41" s="739"/>
      <c r="F41" s="739"/>
    </row>
  </sheetData>
  <mergeCells count="6">
    <mergeCell ref="A41:F41"/>
    <mergeCell ref="A4:D4"/>
    <mergeCell ref="A37:D37"/>
    <mergeCell ref="E37:F37"/>
    <mergeCell ref="A39:F39"/>
    <mergeCell ref="A40:F4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  <headerFooter>
    <oddHeader>&amp;LBD Hübnerové&amp;ROdhad stavebních nákladů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34"/>
  <sheetViews>
    <sheetView showGridLines="0" view="pageBreakPreview" zoomScaleSheetLayoutView="100" workbookViewId="0" topLeftCell="A1">
      <pane ySplit="1" topLeftCell="A2" activePane="bottomLeft" state="frozen"/>
      <selection pane="topLeft" activeCell="F118" sqref="F118:I118"/>
      <selection pane="bottomLeft" activeCell="F5" sqref="F5:P5"/>
    </sheetView>
  </sheetViews>
  <sheetFormatPr defaultColWidth="9.33203125" defaultRowHeight="13.5" outlineLevelRow="1" outlineLevelCol="1"/>
  <cols>
    <col min="1" max="1" width="8.33203125" style="4" customWidth="1"/>
    <col min="2" max="2" width="1.66796875" style="4" customWidth="1"/>
    <col min="3" max="3" width="4.16015625" style="4" customWidth="1"/>
    <col min="4" max="4" width="4.33203125" style="4" customWidth="1"/>
    <col min="5" max="5" width="22.33203125" style="4" customWidth="1"/>
    <col min="6" max="6" width="13.83203125" style="4" customWidth="1"/>
    <col min="7" max="7" width="11.16015625" style="4" customWidth="1"/>
    <col min="8" max="8" width="12.5" style="4" customWidth="1"/>
    <col min="9" max="9" width="34.33203125" style="4" customWidth="1"/>
    <col min="10" max="10" width="8" style="183" customWidth="1"/>
    <col min="11" max="11" width="15.5" style="4" customWidth="1"/>
    <col min="12" max="12" width="12" style="4" customWidth="1"/>
    <col min="13" max="13" width="7.5" style="4" customWidth="1"/>
    <col min="14" max="14" width="6" style="4" customWidth="1"/>
    <col min="15" max="15" width="2" style="4" customWidth="1"/>
    <col min="16" max="16" width="12.5" style="4" customWidth="1"/>
    <col min="17" max="17" width="4.16015625" style="4" customWidth="1"/>
    <col min="18" max="18" width="1.66796875" style="4" customWidth="1"/>
    <col min="19" max="19" width="2" style="4" customWidth="1"/>
    <col min="20" max="20" width="25.33203125" style="129" hidden="1" customWidth="1" outlineLevel="1"/>
    <col min="21" max="28" width="9.33203125" style="177" hidden="1" customWidth="1" outlineLevel="1"/>
    <col min="29" max="29" width="34.66015625" style="248" customWidth="1" collapsed="1"/>
    <col min="30" max="16384" width="9.33203125" style="4" customWidth="1"/>
  </cols>
  <sheetData>
    <row r="1" spans="2:18" ht="13.5">
      <c r="B1" s="1"/>
      <c r="C1" s="2"/>
      <c r="D1" s="2"/>
      <c r="E1" s="2"/>
      <c r="F1" s="2"/>
      <c r="G1" s="2"/>
      <c r="H1" s="2"/>
      <c r="I1" s="2"/>
      <c r="J1" s="144"/>
      <c r="K1" s="2"/>
      <c r="L1" s="2"/>
      <c r="M1" s="2"/>
      <c r="N1" s="2"/>
      <c r="O1" s="2"/>
      <c r="P1" s="2"/>
      <c r="Q1" s="2"/>
      <c r="R1" s="3"/>
    </row>
    <row r="2" spans="2:18" ht="20.25">
      <c r="B2" s="5"/>
      <c r="C2" s="596" t="s">
        <v>38</v>
      </c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6"/>
    </row>
    <row r="3" spans="2:18" ht="13.5">
      <c r="B3" s="5"/>
      <c r="J3" s="145"/>
      <c r="R3" s="6"/>
    </row>
    <row r="4" spans="2:18" ht="12">
      <c r="B4" s="5"/>
      <c r="D4" s="7" t="s">
        <v>3</v>
      </c>
      <c r="F4" s="620" t="str">
        <f>Rekapitulace!K4</f>
        <v>Stavební úpravy, vestavba a přístavba stávajícího objektu</v>
      </c>
      <c r="G4" s="621"/>
      <c r="H4" s="621"/>
      <c r="I4" s="621"/>
      <c r="J4" s="621"/>
      <c r="K4" s="621"/>
      <c r="L4" s="621"/>
      <c r="M4" s="621"/>
      <c r="N4" s="621"/>
      <c r="O4" s="621"/>
      <c r="P4" s="621"/>
      <c r="R4" s="6"/>
    </row>
    <row r="5" spans="2:18" ht="15.75">
      <c r="B5" s="5"/>
      <c r="D5" s="8" t="s">
        <v>39</v>
      </c>
      <c r="F5" s="590" t="s">
        <v>351</v>
      </c>
      <c r="G5" s="603"/>
      <c r="H5" s="603"/>
      <c r="I5" s="603"/>
      <c r="J5" s="603"/>
      <c r="K5" s="603"/>
      <c r="L5" s="603"/>
      <c r="M5" s="603"/>
      <c r="N5" s="603"/>
      <c r="O5" s="603"/>
      <c r="P5" s="603"/>
      <c r="R5" s="6"/>
    </row>
    <row r="6" spans="2:18" ht="12">
      <c r="B6" s="5"/>
      <c r="D6" s="7" t="s">
        <v>4</v>
      </c>
      <c r="F6" s="9" t="s">
        <v>0</v>
      </c>
      <c r="J6" s="145"/>
      <c r="M6" s="7" t="s">
        <v>5</v>
      </c>
      <c r="O6" s="9" t="s">
        <v>0</v>
      </c>
      <c r="R6" s="6"/>
    </row>
    <row r="7" spans="2:18" ht="12">
      <c r="B7" s="5"/>
      <c r="D7" s="7" t="s">
        <v>6</v>
      </c>
      <c r="F7" s="9" t="str">
        <f>Rekapitulace!I81</f>
        <v>Mírové náměstí 23/12, Bílina - p.č. 124, 125/1, 125/2, 125/3, k.ú. Bílina (604208)</v>
      </c>
      <c r="J7" s="145"/>
      <c r="M7" s="7" t="s">
        <v>7</v>
      </c>
      <c r="O7" s="616">
        <f>Rekapitulace!AN6</f>
        <v>0</v>
      </c>
      <c r="P7" s="616"/>
      <c r="R7" s="6"/>
    </row>
    <row r="8" spans="2:18" ht="13.5">
      <c r="B8" s="5"/>
      <c r="J8" s="145"/>
      <c r="R8" s="6"/>
    </row>
    <row r="9" spans="2:18" ht="12">
      <c r="B9" s="5"/>
      <c r="D9" s="7" t="s">
        <v>8</v>
      </c>
      <c r="F9" s="4" t="str">
        <f>Rekapitulace!K8</f>
        <v>město Bílina</v>
      </c>
      <c r="J9" s="145"/>
      <c r="M9" s="7" t="s">
        <v>9</v>
      </c>
      <c r="O9" s="591" t="s">
        <v>0</v>
      </c>
      <c r="P9" s="591"/>
      <c r="R9" s="6"/>
    </row>
    <row r="10" spans="2:18" ht="12">
      <c r="B10" s="5"/>
      <c r="E10" s="9"/>
      <c r="J10" s="145"/>
      <c r="M10" s="7" t="s">
        <v>10</v>
      </c>
      <c r="O10" s="591" t="s">
        <v>0</v>
      </c>
      <c r="P10" s="591"/>
      <c r="R10" s="6"/>
    </row>
    <row r="11" spans="2:18" ht="13.5">
      <c r="B11" s="5"/>
      <c r="J11" s="145"/>
      <c r="R11" s="6"/>
    </row>
    <row r="12" spans="2:18" ht="12">
      <c r="B12" s="5"/>
      <c r="D12" s="7" t="s">
        <v>11</v>
      </c>
      <c r="F12" s="635">
        <f>Rekapitulace!K11</f>
        <v>0</v>
      </c>
      <c r="G12" s="635"/>
      <c r="H12" s="635"/>
      <c r="I12" s="635"/>
      <c r="J12" s="145"/>
      <c r="M12" s="7" t="s">
        <v>9</v>
      </c>
      <c r="O12" s="591" t="str">
        <f>IF(Rekapitulace!AN11="","",Rekapitulace!AN11)</f>
        <v/>
      </c>
      <c r="P12" s="591"/>
      <c r="R12" s="6"/>
    </row>
    <row r="13" spans="2:18" ht="12">
      <c r="B13" s="5"/>
      <c r="E13" s="9" t="str">
        <f>IF(Rekapitulace!E12="","",Rekapitulace!E12)</f>
        <v xml:space="preserve"> </v>
      </c>
      <c r="J13" s="145"/>
      <c r="M13" s="7" t="s">
        <v>10</v>
      </c>
      <c r="O13" s="591" t="str">
        <f>IF(Rekapitulace!AN12="","",Rekapitulace!AN12)</f>
        <v/>
      </c>
      <c r="P13" s="591"/>
      <c r="R13" s="6"/>
    </row>
    <row r="14" spans="2:18" ht="13.5">
      <c r="B14" s="5"/>
      <c r="J14" s="145"/>
      <c r="R14" s="6"/>
    </row>
    <row r="15" spans="2:18" ht="12">
      <c r="B15" s="5"/>
      <c r="D15" s="7" t="s">
        <v>13</v>
      </c>
      <c r="J15" s="145"/>
      <c r="M15" s="7" t="s">
        <v>9</v>
      </c>
      <c r="O15" s="591" t="s">
        <v>0</v>
      </c>
      <c r="P15" s="591"/>
      <c r="R15" s="6"/>
    </row>
    <row r="16" spans="2:18" ht="12">
      <c r="B16" s="5"/>
      <c r="E16" s="9" t="str">
        <f>Rekapitulace!E15</f>
        <v>Ing. arch. Bořek Peška</v>
      </c>
      <c r="J16" s="145"/>
      <c r="M16" s="7" t="s">
        <v>10</v>
      </c>
      <c r="O16" s="591" t="s">
        <v>0</v>
      </c>
      <c r="P16" s="591"/>
      <c r="R16" s="6"/>
    </row>
    <row r="17" spans="2:18" ht="13.5">
      <c r="B17" s="5"/>
      <c r="J17" s="145"/>
      <c r="R17" s="6"/>
    </row>
    <row r="18" spans="2:18" ht="12">
      <c r="B18" s="5"/>
      <c r="D18" s="7" t="s">
        <v>14</v>
      </c>
      <c r="J18" s="145"/>
      <c r="M18" s="7" t="s">
        <v>9</v>
      </c>
      <c r="O18" s="591" t="s">
        <v>0</v>
      </c>
      <c r="P18" s="591"/>
      <c r="R18" s="6"/>
    </row>
    <row r="19" spans="2:18" ht="12">
      <c r="B19" s="5"/>
      <c r="E19" s="9" t="str">
        <f>Rekapitulace!E18</f>
        <v>Jakub Kulhavý</v>
      </c>
      <c r="J19" s="145"/>
      <c r="M19" s="7" t="s">
        <v>10</v>
      </c>
      <c r="O19" s="591" t="s">
        <v>0</v>
      </c>
      <c r="P19" s="591"/>
      <c r="R19" s="6"/>
    </row>
    <row r="20" spans="2:18" ht="13.5">
      <c r="B20" s="5"/>
      <c r="J20" s="145"/>
      <c r="R20" s="6"/>
    </row>
    <row r="21" spans="2:18" ht="12">
      <c r="B21" s="5"/>
      <c r="D21" s="7" t="s">
        <v>193</v>
      </c>
      <c r="J21" s="145"/>
      <c r="M21" s="7"/>
      <c r="O21" s="591" t="s">
        <v>0</v>
      </c>
      <c r="P21" s="591"/>
      <c r="R21" s="6"/>
    </row>
    <row r="22" spans="2:18" ht="12">
      <c r="B22" s="5"/>
      <c r="E22" s="591" t="str">
        <f>Rekapitulace!E21</f>
        <v>projektové dokumentace ve stupni DPS z 04/2023</v>
      </c>
      <c r="F22" s="591"/>
      <c r="G22" s="591"/>
      <c r="H22" s="591"/>
      <c r="I22" s="591"/>
      <c r="J22" s="591"/>
      <c r="K22" s="591"/>
      <c r="L22" s="591"/>
      <c r="M22" s="591"/>
      <c r="N22" s="591"/>
      <c r="O22" s="591"/>
      <c r="P22" s="591"/>
      <c r="R22" s="6"/>
    </row>
    <row r="23" spans="2:18" ht="13.5">
      <c r="B23" s="5"/>
      <c r="J23" s="145"/>
      <c r="R23" s="6"/>
    </row>
    <row r="24" spans="2:18" ht="12">
      <c r="B24" s="5"/>
      <c r="D24" s="7" t="s">
        <v>96</v>
      </c>
      <c r="J24" s="145"/>
      <c r="R24" s="6"/>
    </row>
    <row r="25" spans="2:29" s="238" customFormat="1" ht="12">
      <c r="B25" s="237"/>
      <c r="D25" s="636"/>
      <c r="E25" s="636"/>
      <c r="F25" s="392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R25" s="239"/>
      <c r="T25" s="393"/>
      <c r="AC25" s="394"/>
    </row>
    <row r="26" spans="2:21" ht="12">
      <c r="B26" s="5"/>
      <c r="D26" s="635"/>
      <c r="E26" s="635"/>
      <c r="F26" s="19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R26" s="6"/>
      <c r="T26" s="199"/>
      <c r="U26" s="4"/>
    </row>
    <row r="27" spans="2:18" ht="13.5">
      <c r="B27" s="5"/>
      <c r="J27" s="145"/>
      <c r="R27" s="6"/>
    </row>
    <row r="28" spans="2:18" ht="13.5">
      <c r="B28" s="5"/>
      <c r="D28" s="24"/>
      <c r="E28" s="24"/>
      <c r="F28" s="24"/>
      <c r="G28" s="24"/>
      <c r="H28" s="24"/>
      <c r="I28" s="24"/>
      <c r="J28" s="146"/>
      <c r="K28" s="24"/>
      <c r="L28" s="24"/>
      <c r="M28" s="24"/>
      <c r="N28" s="24"/>
      <c r="O28" s="24"/>
      <c r="P28" s="24"/>
      <c r="R28" s="6"/>
    </row>
    <row r="29" spans="2:18" ht="12.75">
      <c r="B29" s="5"/>
      <c r="D29" s="147" t="s">
        <v>40</v>
      </c>
      <c r="J29" s="145"/>
      <c r="M29" s="611">
        <f>N86</f>
        <v>0</v>
      </c>
      <c r="N29" s="611"/>
      <c r="O29" s="611"/>
      <c r="P29" s="611"/>
      <c r="R29" s="6"/>
    </row>
    <row r="30" spans="2:18" ht="13.5">
      <c r="B30" s="5"/>
      <c r="J30" s="145"/>
      <c r="R30" s="6"/>
    </row>
    <row r="31" spans="2:18" ht="12.75">
      <c r="B31" s="5"/>
      <c r="D31" s="148" t="s">
        <v>16</v>
      </c>
      <c r="J31" s="145"/>
      <c r="M31" s="634">
        <f>ROUND(M29,2)</f>
        <v>0</v>
      </c>
      <c r="N31" s="603"/>
      <c r="O31" s="603"/>
      <c r="P31" s="603"/>
      <c r="R31" s="6"/>
    </row>
    <row r="32" spans="2:18" ht="13.5">
      <c r="B32" s="5"/>
      <c r="D32" s="24"/>
      <c r="E32" s="24"/>
      <c r="F32" s="24"/>
      <c r="G32" s="24"/>
      <c r="H32" s="24"/>
      <c r="I32" s="24"/>
      <c r="J32" s="146"/>
      <c r="K32" s="24"/>
      <c r="L32" s="24"/>
      <c r="M32" s="24"/>
      <c r="N32" s="24"/>
      <c r="O32" s="24"/>
      <c r="P32" s="24"/>
      <c r="R32" s="6"/>
    </row>
    <row r="33" spans="2:18" ht="13.5">
      <c r="B33" s="5"/>
      <c r="D33" s="16" t="s">
        <v>17</v>
      </c>
      <c r="E33" s="16" t="s">
        <v>18</v>
      </c>
      <c r="F33" s="149">
        <v>0.21</v>
      </c>
      <c r="G33" s="150" t="s">
        <v>19</v>
      </c>
      <c r="H33" s="587">
        <f>ROUND(M31,2)</f>
        <v>0</v>
      </c>
      <c r="I33" s="603"/>
      <c r="J33" s="603"/>
      <c r="M33" s="640">
        <f>ROUND(H33*F33,2)</f>
        <v>0</v>
      </c>
      <c r="N33" s="603"/>
      <c r="O33" s="603"/>
      <c r="P33" s="603"/>
      <c r="R33" s="6"/>
    </row>
    <row r="34" spans="2:18" ht="13.5">
      <c r="B34" s="5"/>
      <c r="E34" s="16" t="s">
        <v>20</v>
      </c>
      <c r="F34" s="149">
        <v>0.15</v>
      </c>
      <c r="G34" s="150" t="s">
        <v>19</v>
      </c>
      <c r="H34" s="587">
        <v>0</v>
      </c>
      <c r="I34" s="603"/>
      <c r="J34" s="603"/>
      <c r="M34" s="640">
        <f>ROUND(H34*F34,2)</f>
        <v>0</v>
      </c>
      <c r="N34" s="603"/>
      <c r="O34" s="603"/>
      <c r="P34" s="603"/>
      <c r="R34" s="6"/>
    </row>
    <row r="35" spans="2:18" ht="13.5">
      <c r="B35" s="5"/>
      <c r="J35" s="145"/>
      <c r="R35" s="6"/>
    </row>
    <row r="36" spans="2:18" ht="15.75">
      <c r="B36" s="5"/>
      <c r="C36" s="50"/>
      <c r="D36" s="151" t="s">
        <v>24</v>
      </c>
      <c r="E36" s="41"/>
      <c r="F36" s="41"/>
      <c r="G36" s="152" t="s">
        <v>25</v>
      </c>
      <c r="H36" s="153" t="s">
        <v>26</v>
      </c>
      <c r="I36" s="41"/>
      <c r="J36" s="154"/>
      <c r="K36" s="41"/>
      <c r="L36" s="638">
        <f>SUM(M31:M34)</f>
        <v>0</v>
      </c>
      <c r="M36" s="638"/>
      <c r="N36" s="638"/>
      <c r="O36" s="638"/>
      <c r="P36" s="639"/>
      <c r="Q36" s="50"/>
      <c r="R36" s="6"/>
    </row>
    <row r="37" spans="2:18" ht="13.5">
      <c r="B37" s="5"/>
      <c r="J37" s="145"/>
      <c r="R37" s="6"/>
    </row>
    <row r="38" spans="2:18" ht="13.5">
      <c r="B38" s="5"/>
      <c r="J38" s="145"/>
      <c r="R38" s="6"/>
    </row>
    <row r="39" spans="2:18" ht="13.5">
      <c r="B39" s="5"/>
      <c r="J39" s="145"/>
      <c r="R39" s="6"/>
    </row>
    <row r="40" spans="2:18" ht="13.5">
      <c r="B40" s="5"/>
      <c r="J40" s="145"/>
      <c r="R40" s="6"/>
    </row>
    <row r="41" spans="2:18" ht="13.5">
      <c r="B41" s="5"/>
      <c r="J41" s="145"/>
      <c r="R41" s="6"/>
    </row>
    <row r="42" spans="2:18" ht="13.5">
      <c r="B42" s="5"/>
      <c r="J42" s="145"/>
      <c r="R42" s="6"/>
    </row>
    <row r="43" spans="2:18" ht="13.5">
      <c r="B43" s="5"/>
      <c r="J43" s="145"/>
      <c r="R43" s="6"/>
    </row>
    <row r="44" spans="2:18" ht="13.5">
      <c r="B44" s="5"/>
      <c r="J44" s="145"/>
      <c r="R44" s="6"/>
    </row>
    <row r="45" spans="2:18" ht="13.5">
      <c r="B45" s="5"/>
      <c r="J45" s="145"/>
      <c r="R45" s="6"/>
    </row>
    <row r="46" spans="2:18" ht="13.5">
      <c r="B46" s="5"/>
      <c r="J46" s="145"/>
      <c r="R46" s="6"/>
    </row>
    <row r="47" spans="2:18" ht="13.5">
      <c r="B47" s="5"/>
      <c r="J47" s="145"/>
      <c r="R47" s="6"/>
    </row>
    <row r="48" spans="2:18" ht="12.75">
      <c r="B48" s="5"/>
      <c r="D48" s="23" t="s">
        <v>27</v>
      </c>
      <c r="E48" s="24"/>
      <c r="F48" s="24"/>
      <c r="G48" s="24"/>
      <c r="H48" s="25"/>
      <c r="J48" s="155" t="s">
        <v>28</v>
      </c>
      <c r="K48" s="24"/>
      <c r="L48" s="24"/>
      <c r="M48" s="24"/>
      <c r="N48" s="24"/>
      <c r="O48" s="24"/>
      <c r="P48" s="25"/>
      <c r="R48" s="6"/>
    </row>
    <row r="49" spans="2:18" ht="13.5">
      <c r="B49" s="5"/>
      <c r="D49" s="26"/>
      <c r="H49" s="27"/>
      <c r="J49" s="156"/>
      <c r="P49" s="27"/>
      <c r="R49" s="6"/>
    </row>
    <row r="50" spans="2:18" ht="13.5">
      <c r="B50" s="5"/>
      <c r="D50" s="26"/>
      <c r="H50" s="27"/>
      <c r="J50" s="156"/>
      <c r="P50" s="27"/>
      <c r="R50" s="6"/>
    </row>
    <row r="51" spans="2:18" ht="13.5">
      <c r="B51" s="5"/>
      <c r="D51" s="26"/>
      <c r="H51" s="27"/>
      <c r="J51" s="156"/>
      <c r="P51" s="27"/>
      <c r="R51" s="6"/>
    </row>
    <row r="52" spans="2:18" ht="13.5">
      <c r="B52" s="5"/>
      <c r="D52" s="26"/>
      <c r="H52" s="27"/>
      <c r="J52" s="156"/>
      <c r="P52" s="27"/>
      <c r="R52" s="6"/>
    </row>
    <row r="53" spans="2:18" ht="13.5">
      <c r="B53" s="5"/>
      <c r="D53" s="26"/>
      <c r="H53" s="27"/>
      <c r="J53" s="156"/>
      <c r="P53" s="27"/>
      <c r="R53" s="6"/>
    </row>
    <row r="54" spans="2:18" ht="13.5">
      <c r="B54" s="5"/>
      <c r="D54" s="26"/>
      <c r="H54" s="27"/>
      <c r="J54" s="156"/>
      <c r="P54" s="27"/>
      <c r="R54" s="6"/>
    </row>
    <row r="55" spans="2:18" ht="13.5">
      <c r="B55" s="5"/>
      <c r="D55" s="26"/>
      <c r="H55" s="27"/>
      <c r="J55" s="156"/>
      <c r="P55" s="27"/>
      <c r="R55" s="6"/>
    </row>
    <row r="56" spans="2:18" ht="13.5">
      <c r="B56" s="5"/>
      <c r="D56" s="26"/>
      <c r="H56" s="27"/>
      <c r="J56" s="156"/>
      <c r="P56" s="27"/>
      <c r="R56" s="6"/>
    </row>
    <row r="57" spans="2:18" ht="12.75">
      <c r="B57" s="5"/>
      <c r="D57" s="28" t="s">
        <v>29</v>
      </c>
      <c r="E57" s="29"/>
      <c r="F57" s="29"/>
      <c r="G57" s="30" t="s">
        <v>30</v>
      </c>
      <c r="H57" s="31"/>
      <c r="J57" s="157" t="s">
        <v>29</v>
      </c>
      <c r="K57" s="29"/>
      <c r="L57" s="29"/>
      <c r="M57" s="29"/>
      <c r="N57" s="30" t="s">
        <v>30</v>
      </c>
      <c r="O57" s="29"/>
      <c r="P57" s="31"/>
      <c r="R57" s="6"/>
    </row>
    <row r="58" spans="2:18" ht="13.5">
      <c r="B58" s="5"/>
      <c r="J58" s="145"/>
      <c r="R58" s="6"/>
    </row>
    <row r="59" spans="2:18" ht="12.75">
      <c r="B59" s="5"/>
      <c r="D59" s="23" t="s">
        <v>31</v>
      </c>
      <c r="E59" s="24"/>
      <c r="F59" s="24"/>
      <c r="G59" s="24"/>
      <c r="H59" s="25"/>
      <c r="J59" s="155" t="s">
        <v>32</v>
      </c>
      <c r="K59" s="24"/>
      <c r="L59" s="24"/>
      <c r="M59" s="24"/>
      <c r="N59" s="24"/>
      <c r="O59" s="24"/>
      <c r="P59" s="25"/>
      <c r="R59" s="6"/>
    </row>
    <row r="60" spans="2:18" ht="13.5">
      <c r="B60" s="5"/>
      <c r="D60" s="26"/>
      <c r="H60" s="27"/>
      <c r="J60" s="156"/>
      <c r="P60" s="27"/>
      <c r="R60" s="6"/>
    </row>
    <row r="61" spans="2:18" ht="13.5">
      <c r="B61" s="5"/>
      <c r="D61" s="26"/>
      <c r="H61" s="27"/>
      <c r="J61" s="156"/>
      <c r="P61" s="27"/>
      <c r="R61" s="6"/>
    </row>
    <row r="62" spans="2:18" ht="13.5">
      <c r="B62" s="5"/>
      <c r="D62" s="26"/>
      <c r="H62" s="27"/>
      <c r="J62" s="156"/>
      <c r="P62" s="27"/>
      <c r="R62" s="6"/>
    </row>
    <row r="63" spans="2:18" ht="13.5">
      <c r="B63" s="5"/>
      <c r="D63" s="26"/>
      <c r="H63" s="27"/>
      <c r="J63" s="156"/>
      <c r="P63" s="27"/>
      <c r="R63" s="6"/>
    </row>
    <row r="64" spans="2:18" ht="13.5">
      <c r="B64" s="5"/>
      <c r="D64" s="26"/>
      <c r="H64" s="27"/>
      <c r="J64" s="156"/>
      <c r="P64" s="27"/>
      <c r="R64" s="6"/>
    </row>
    <row r="65" spans="2:18" ht="13.5">
      <c r="B65" s="5"/>
      <c r="D65" s="26"/>
      <c r="H65" s="27"/>
      <c r="J65" s="156"/>
      <c r="P65" s="27"/>
      <c r="R65" s="6"/>
    </row>
    <row r="66" spans="2:18" ht="13.5">
      <c r="B66" s="5"/>
      <c r="D66" s="26"/>
      <c r="H66" s="27"/>
      <c r="J66" s="156"/>
      <c r="P66" s="27"/>
      <c r="R66" s="6"/>
    </row>
    <row r="67" spans="2:18" ht="13.5">
      <c r="B67" s="5"/>
      <c r="D67" s="26"/>
      <c r="H67" s="27"/>
      <c r="J67" s="156"/>
      <c r="P67" s="27"/>
      <c r="R67" s="6"/>
    </row>
    <row r="68" spans="2:18" ht="12.75">
      <c r="B68" s="5"/>
      <c r="D68" s="28" t="s">
        <v>29</v>
      </c>
      <c r="E68" s="29"/>
      <c r="F68" s="29"/>
      <c r="G68" s="30" t="s">
        <v>30</v>
      </c>
      <c r="H68" s="31"/>
      <c r="J68" s="157" t="s">
        <v>29</v>
      </c>
      <c r="K68" s="29"/>
      <c r="L68" s="29"/>
      <c r="M68" s="29"/>
      <c r="N68" s="30" t="s">
        <v>30</v>
      </c>
      <c r="O68" s="29"/>
      <c r="P68" s="31"/>
      <c r="R68" s="6"/>
    </row>
    <row r="69" spans="2:18" ht="13.5">
      <c r="B69" s="32"/>
      <c r="C69" s="33"/>
      <c r="D69" s="33"/>
      <c r="E69" s="33"/>
      <c r="F69" s="33"/>
      <c r="G69" s="33"/>
      <c r="H69" s="33"/>
      <c r="I69" s="33"/>
      <c r="J69" s="158"/>
      <c r="K69" s="33"/>
      <c r="L69" s="33"/>
      <c r="M69" s="33"/>
      <c r="N69" s="33"/>
      <c r="O69" s="33"/>
      <c r="P69" s="33"/>
      <c r="Q69" s="33"/>
      <c r="R69" s="34"/>
    </row>
    <row r="73" spans="2:18" ht="13.5">
      <c r="B73" s="1"/>
      <c r="C73" s="2"/>
      <c r="D73" s="2"/>
      <c r="E73" s="2"/>
      <c r="F73" s="2"/>
      <c r="G73" s="2"/>
      <c r="H73" s="2"/>
      <c r="I73" s="2"/>
      <c r="J73" s="144"/>
      <c r="K73" s="2"/>
      <c r="L73" s="2"/>
      <c r="M73" s="2"/>
      <c r="N73" s="2"/>
      <c r="O73" s="2"/>
      <c r="P73" s="2"/>
      <c r="Q73" s="2"/>
      <c r="R73" s="3"/>
    </row>
    <row r="74" spans="2:18" ht="20.25">
      <c r="B74" s="5"/>
      <c r="C74" s="596" t="s">
        <v>41</v>
      </c>
      <c r="D74" s="597"/>
      <c r="E74" s="597"/>
      <c r="F74" s="597"/>
      <c r="G74" s="597"/>
      <c r="H74" s="597"/>
      <c r="I74" s="597"/>
      <c r="J74" s="597"/>
      <c r="K74" s="597"/>
      <c r="L74" s="597"/>
      <c r="M74" s="597"/>
      <c r="N74" s="597"/>
      <c r="O74" s="597"/>
      <c r="P74" s="597"/>
      <c r="Q74" s="597"/>
      <c r="R74" s="6"/>
    </row>
    <row r="75" spans="2:18" ht="13.5">
      <c r="B75" s="5"/>
      <c r="J75" s="145"/>
      <c r="R75" s="6"/>
    </row>
    <row r="76" spans="2:18" ht="12">
      <c r="B76" s="5"/>
      <c r="C76" s="7" t="s">
        <v>3</v>
      </c>
      <c r="F76" s="620" t="str">
        <f>F4</f>
        <v>Stavební úpravy, vestavba a přístavba stávajícího objektu</v>
      </c>
      <c r="G76" s="621"/>
      <c r="H76" s="621"/>
      <c r="I76" s="621"/>
      <c r="J76" s="621"/>
      <c r="K76" s="621"/>
      <c r="L76" s="621"/>
      <c r="M76" s="621"/>
      <c r="N76" s="621"/>
      <c r="O76" s="621"/>
      <c r="P76" s="621"/>
      <c r="R76" s="6"/>
    </row>
    <row r="77" spans="2:18" ht="15.75">
      <c r="B77" s="5"/>
      <c r="C77" s="8" t="s">
        <v>39</v>
      </c>
      <c r="F77" s="590" t="str">
        <f>F5</f>
        <v>Bourání a demolice</v>
      </c>
      <c r="G77" s="603"/>
      <c r="H77" s="603"/>
      <c r="I77" s="603"/>
      <c r="J77" s="603"/>
      <c r="K77" s="603"/>
      <c r="L77" s="603"/>
      <c r="M77" s="603"/>
      <c r="N77" s="603"/>
      <c r="O77" s="603"/>
      <c r="P77" s="603"/>
      <c r="R77" s="6"/>
    </row>
    <row r="78" spans="2:18" ht="13.5">
      <c r="B78" s="5"/>
      <c r="J78" s="145"/>
      <c r="R78" s="6"/>
    </row>
    <row r="79" spans="2:18" ht="12">
      <c r="B79" s="5"/>
      <c r="C79" s="7" t="s">
        <v>6</v>
      </c>
      <c r="F79" s="9" t="str">
        <f>F7</f>
        <v>Mírové náměstí 23/12, Bílina - p.č. 124, 125/1, 125/2, 125/3, k.ú. Bílina (604208)</v>
      </c>
      <c r="J79" s="145"/>
      <c r="K79" s="7" t="s">
        <v>7</v>
      </c>
      <c r="M79" s="616">
        <f>IF(O7="","",O7)</f>
        <v>0</v>
      </c>
      <c r="N79" s="616"/>
      <c r="O79" s="616"/>
      <c r="P79" s="616"/>
      <c r="R79" s="6"/>
    </row>
    <row r="80" spans="2:18" ht="13.5">
      <c r="B80" s="5"/>
      <c r="J80" s="145"/>
      <c r="R80" s="6"/>
    </row>
    <row r="81" spans="2:18" ht="12">
      <c r="B81" s="5"/>
      <c r="C81" s="7" t="s">
        <v>8</v>
      </c>
      <c r="F81" s="9" t="str">
        <f>F9</f>
        <v>město Bílina</v>
      </c>
      <c r="J81" s="145"/>
      <c r="K81" s="7" t="s">
        <v>13</v>
      </c>
      <c r="M81" s="591" t="str">
        <f>E16</f>
        <v>Ing. arch. Bořek Peška</v>
      </c>
      <c r="N81" s="591"/>
      <c r="O81" s="591"/>
      <c r="P81" s="591"/>
      <c r="Q81" s="591"/>
      <c r="R81" s="6"/>
    </row>
    <row r="82" spans="2:18" ht="12">
      <c r="B82" s="5"/>
      <c r="C82" s="7" t="s">
        <v>11</v>
      </c>
      <c r="F82" s="9">
        <f>F12</f>
        <v>0</v>
      </c>
      <c r="J82" s="145"/>
      <c r="K82" s="7" t="s">
        <v>14</v>
      </c>
      <c r="M82" s="591" t="str">
        <f>E19</f>
        <v>Jakub Kulhavý</v>
      </c>
      <c r="N82" s="591"/>
      <c r="O82" s="591"/>
      <c r="P82" s="591"/>
      <c r="Q82" s="591"/>
      <c r="R82" s="6"/>
    </row>
    <row r="83" spans="2:18" ht="13.5">
      <c r="B83" s="5"/>
      <c r="J83" s="145"/>
      <c r="R83" s="6"/>
    </row>
    <row r="84" spans="2:18" ht="12">
      <c r="B84" s="5"/>
      <c r="C84" s="641" t="s">
        <v>42</v>
      </c>
      <c r="D84" s="642"/>
      <c r="E84" s="642"/>
      <c r="F84" s="642"/>
      <c r="G84" s="642"/>
      <c r="H84" s="50" t="s">
        <v>205</v>
      </c>
      <c r="I84" s="311">
        <f>Rekapitulace!AS88</f>
        <v>834.4299999999998</v>
      </c>
      <c r="J84" s="159"/>
      <c r="K84" s="50" t="s">
        <v>204</v>
      </c>
      <c r="L84" s="50"/>
      <c r="M84" s="50"/>
      <c r="N84" s="641" t="s">
        <v>43</v>
      </c>
      <c r="O84" s="642"/>
      <c r="P84" s="642"/>
      <c r="Q84" s="642"/>
      <c r="R84" s="6"/>
    </row>
    <row r="85" spans="2:18" ht="13.5">
      <c r="B85" s="5"/>
      <c r="J85" s="145"/>
      <c r="R85" s="6"/>
    </row>
    <row r="86" spans="2:20" ht="15.75">
      <c r="B86" s="5"/>
      <c r="C86" s="160" t="s">
        <v>44</v>
      </c>
      <c r="J86" s="145"/>
      <c r="K86" s="205">
        <f>N86/$I$84</f>
        <v>0</v>
      </c>
      <c r="N86" s="602">
        <f>N87</f>
        <v>0</v>
      </c>
      <c r="O86" s="643"/>
      <c r="P86" s="643"/>
      <c r="Q86" s="643"/>
      <c r="R86" s="6"/>
      <c r="T86" s="161">
        <f>SUM(N86:Q90)/3</f>
        <v>0</v>
      </c>
    </row>
    <row r="87" spans="2:29" s="163" customFormat="1" ht="15">
      <c r="B87" s="162"/>
      <c r="D87" s="164" t="s">
        <v>45</v>
      </c>
      <c r="J87" s="165"/>
      <c r="K87" s="206">
        <f>N87/$I$84</f>
        <v>0</v>
      </c>
      <c r="N87" s="629">
        <f>SUM(N88:Q90)</f>
        <v>0</v>
      </c>
      <c r="O87" s="630"/>
      <c r="P87" s="630"/>
      <c r="Q87" s="630"/>
      <c r="R87" s="166"/>
      <c r="T87" s="161">
        <f>SUM(N87:Q90)/2</f>
        <v>0</v>
      </c>
      <c r="U87" s="192"/>
      <c r="V87" s="192"/>
      <c r="W87" s="192"/>
      <c r="X87" s="192"/>
      <c r="Y87" s="192"/>
      <c r="Z87" s="192"/>
      <c r="AA87" s="192"/>
      <c r="AB87" s="192"/>
      <c r="AC87" s="383"/>
    </row>
    <row r="88" spans="2:29" s="131" customFormat="1" ht="12.75">
      <c r="B88" s="130"/>
      <c r="D88" s="167" t="str">
        <f>D113</f>
        <v xml:space="preserve">    5 - Komunikace a venkovní plochy</v>
      </c>
      <c r="J88" s="168"/>
      <c r="K88" s="207">
        <f>N88/$I$84</f>
        <v>0</v>
      </c>
      <c r="N88" s="631">
        <f>N113</f>
        <v>0</v>
      </c>
      <c r="O88" s="632"/>
      <c r="P88" s="632"/>
      <c r="Q88" s="632"/>
      <c r="R88" s="132"/>
      <c r="T88" s="133"/>
      <c r="U88" s="193"/>
      <c r="V88" s="193"/>
      <c r="W88" s="193"/>
      <c r="X88" s="193"/>
      <c r="Y88" s="193"/>
      <c r="Z88" s="193"/>
      <c r="AA88" s="193"/>
      <c r="AB88" s="193"/>
      <c r="AC88" s="256"/>
    </row>
    <row r="89" spans="2:29" s="131" customFormat="1" ht="12.75">
      <c r="B89" s="130"/>
      <c r="D89" s="167" t="str">
        <f>D116</f>
        <v xml:space="preserve">    9 - Ostatní konstrukce a práce, bourání</v>
      </c>
      <c r="J89" s="168"/>
      <c r="K89" s="207">
        <f>N89/$I$84</f>
        <v>0</v>
      </c>
      <c r="N89" s="631">
        <f>N116</f>
        <v>0</v>
      </c>
      <c r="O89" s="632"/>
      <c r="P89" s="632"/>
      <c r="Q89" s="632"/>
      <c r="R89" s="132"/>
      <c r="T89" s="133"/>
      <c r="U89" s="193"/>
      <c r="V89" s="193"/>
      <c r="W89" s="193"/>
      <c r="X89" s="193"/>
      <c r="Y89" s="193"/>
      <c r="Z89" s="193"/>
      <c r="AA89" s="193"/>
      <c r="AB89" s="193"/>
      <c r="AC89" s="256"/>
    </row>
    <row r="90" spans="2:29" s="131" customFormat="1" ht="12.75">
      <c r="B90" s="130"/>
      <c r="D90" s="167" t="str">
        <f>D221</f>
        <v xml:space="preserve">    997 - Přesuny suti</v>
      </c>
      <c r="J90" s="168"/>
      <c r="K90" s="207">
        <f>N90/$I$84</f>
        <v>0</v>
      </c>
      <c r="N90" s="631">
        <f>N221</f>
        <v>0</v>
      </c>
      <c r="O90" s="632"/>
      <c r="P90" s="632"/>
      <c r="Q90" s="632"/>
      <c r="R90" s="132"/>
      <c r="T90" s="133"/>
      <c r="U90" s="193"/>
      <c r="V90" s="193"/>
      <c r="W90" s="193"/>
      <c r="X90" s="193"/>
      <c r="Y90" s="193"/>
      <c r="Z90" s="193"/>
      <c r="AA90" s="193"/>
      <c r="AB90" s="193"/>
      <c r="AC90" s="256"/>
    </row>
    <row r="91" spans="2:18" ht="13.5">
      <c r="B91" s="5"/>
      <c r="J91" s="145"/>
      <c r="R91" s="6"/>
    </row>
    <row r="92" spans="2:18" ht="15.75">
      <c r="B92" s="5"/>
      <c r="C92" s="49" t="s">
        <v>97</v>
      </c>
      <c r="D92" s="50"/>
      <c r="E92" s="50"/>
      <c r="F92" s="50"/>
      <c r="G92" s="50"/>
      <c r="H92" s="50"/>
      <c r="I92" s="50"/>
      <c r="J92" s="159"/>
      <c r="K92" s="208">
        <f>L92/$I$84</f>
        <v>0</v>
      </c>
      <c r="L92" s="615">
        <f>ROUND(N86,2)</f>
        <v>0</v>
      </c>
      <c r="M92" s="615"/>
      <c r="N92" s="615"/>
      <c r="O92" s="615"/>
      <c r="P92" s="615"/>
      <c r="Q92" s="615"/>
      <c r="R92" s="6"/>
    </row>
    <row r="93" spans="2:18" ht="13.5">
      <c r="B93" s="32"/>
      <c r="C93" s="33"/>
      <c r="D93" s="33"/>
      <c r="E93" s="33"/>
      <c r="F93" s="33"/>
      <c r="G93" s="33"/>
      <c r="H93" s="33"/>
      <c r="I93" s="33"/>
      <c r="J93" s="158"/>
      <c r="K93" s="33"/>
      <c r="L93" s="33"/>
      <c r="M93" s="33"/>
      <c r="N93" s="33"/>
      <c r="O93" s="33"/>
      <c r="P93" s="33"/>
      <c r="Q93" s="33"/>
      <c r="R93" s="34"/>
    </row>
    <row r="97" spans="2:18" ht="13.5">
      <c r="B97" s="1"/>
      <c r="C97" s="2"/>
      <c r="D97" s="2"/>
      <c r="E97" s="2"/>
      <c r="F97" s="2"/>
      <c r="G97" s="2"/>
      <c r="H97" s="2"/>
      <c r="I97" s="2"/>
      <c r="J97" s="144"/>
      <c r="K97" s="2"/>
      <c r="L97" s="2"/>
      <c r="M97" s="2"/>
      <c r="N97" s="2"/>
      <c r="O97" s="2"/>
      <c r="P97" s="2"/>
      <c r="Q97" s="2"/>
      <c r="R97" s="3"/>
    </row>
    <row r="98" spans="2:18" ht="20.25">
      <c r="B98" s="5"/>
      <c r="C98" s="596" t="s">
        <v>57</v>
      </c>
      <c r="D98" s="603"/>
      <c r="E98" s="603"/>
      <c r="F98" s="603"/>
      <c r="G98" s="603"/>
      <c r="H98" s="603"/>
      <c r="I98" s="603"/>
      <c r="J98" s="603"/>
      <c r="K98" s="603"/>
      <c r="L98" s="603"/>
      <c r="M98" s="603"/>
      <c r="N98" s="603"/>
      <c r="O98" s="603"/>
      <c r="P98" s="603"/>
      <c r="Q98" s="603"/>
      <c r="R98" s="6"/>
    </row>
    <row r="99" spans="2:18" ht="2.25" customHeight="1">
      <c r="B99" s="5"/>
      <c r="J99" s="145"/>
      <c r="R99" s="6"/>
    </row>
    <row r="100" spans="2:18" ht="12">
      <c r="B100" s="5"/>
      <c r="C100" s="7" t="s">
        <v>3</v>
      </c>
      <c r="F100" s="620" t="str">
        <f>F4</f>
        <v>Stavební úpravy, vestavba a přístavba stávajícího objektu</v>
      </c>
      <c r="G100" s="621"/>
      <c r="H100" s="621"/>
      <c r="I100" s="621"/>
      <c r="J100" s="621"/>
      <c r="K100" s="621"/>
      <c r="L100" s="621"/>
      <c r="M100" s="621"/>
      <c r="N100" s="621"/>
      <c r="O100" s="621"/>
      <c r="P100" s="621"/>
      <c r="R100" s="6"/>
    </row>
    <row r="101" spans="2:18" ht="15.75">
      <c r="B101" s="5"/>
      <c r="C101" s="8" t="s">
        <v>39</v>
      </c>
      <c r="F101" s="590" t="str">
        <f>F5</f>
        <v>Bourání a demolice</v>
      </c>
      <c r="G101" s="603"/>
      <c r="H101" s="603"/>
      <c r="I101" s="603"/>
      <c r="J101" s="603"/>
      <c r="K101" s="603"/>
      <c r="L101" s="603"/>
      <c r="M101" s="603"/>
      <c r="N101" s="603"/>
      <c r="O101" s="603"/>
      <c r="P101" s="603"/>
      <c r="R101" s="6"/>
    </row>
    <row r="102" spans="2:18" ht="13.5">
      <c r="B102" s="5"/>
      <c r="J102" s="145"/>
      <c r="R102" s="6"/>
    </row>
    <row r="103" spans="2:18" ht="12">
      <c r="B103" s="5"/>
      <c r="C103" s="7" t="s">
        <v>6</v>
      </c>
      <c r="F103" s="9" t="str">
        <f>F7</f>
        <v>Mírové náměstí 23/12, Bílina - p.č. 124, 125/1, 125/2, 125/3, k.ú. Bílina (604208)</v>
      </c>
      <c r="J103" s="145"/>
      <c r="K103" s="7" t="s">
        <v>7</v>
      </c>
      <c r="M103" s="616">
        <f>IF(O7="","",O7)</f>
        <v>0</v>
      </c>
      <c r="N103" s="616"/>
      <c r="O103" s="616"/>
      <c r="P103" s="616"/>
      <c r="R103" s="6"/>
    </row>
    <row r="104" spans="2:18" ht="13.5">
      <c r="B104" s="5"/>
      <c r="J104" s="145"/>
      <c r="R104" s="6"/>
    </row>
    <row r="105" spans="2:18" ht="12">
      <c r="B105" s="5"/>
      <c r="C105" s="7" t="s">
        <v>8</v>
      </c>
      <c r="F105" s="9" t="str">
        <f>F81</f>
        <v>město Bílina</v>
      </c>
      <c r="J105" s="145"/>
      <c r="K105" s="7" t="s">
        <v>13</v>
      </c>
      <c r="M105" s="591" t="str">
        <f>E16</f>
        <v>Ing. arch. Bořek Peška</v>
      </c>
      <c r="N105" s="591"/>
      <c r="O105" s="591"/>
      <c r="P105" s="591"/>
      <c r="Q105" s="591"/>
      <c r="R105" s="6"/>
    </row>
    <row r="106" spans="2:18" ht="12">
      <c r="B106" s="5"/>
      <c r="C106" s="7" t="s">
        <v>11</v>
      </c>
      <c r="F106" s="9">
        <f>F82</f>
        <v>0</v>
      </c>
      <c r="J106" s="145"/>
      <c r="K106" s="7" t="s">
        <v>14</v>
      </c>
      <c r="M106" s="591" t="str">
        <f>E19</f>
        <v>Jakub Kulhavý</v>
      </c>
      <c r="N106" s="591"/>
      <c r="O106" s="591"/>
      <c r="P106" s="591"/>
      <c r="Q106" s="591"/>
      <c r="R106" s="6"/>
    </row>
    <row r="107" spans="2:18" ht="12">
      <c r="B107" s="5"/>
      <c r="C107" s="7"/>
      <c r="F107" s="620"/>
      <c r="G107" s="621"/>
      <c r="H107" s="621"/>
      <c r="I107" s="621"/>
      <c r="J107" s="621"/>
      <c r="K107" s="621"/>
      <c r="L107" s="621"/>
      <c r="M107" s="621"/>
      <c r="N107" s="621"/>
      <c r="O107" s="621"/>
      <c r="P107" s="621"/>
      <c r="R107" s="6"/>
    </row>
    <row r="108" spans="2:18" ht="28.5" customHeight="1">
      <c r="B108" s="5"/>
      <c r="C108" s="7" t="s">
        <v>109</v>
      </c>
      <c r="F108" s="589" t="s">
        <v>2058</v>
      </c>
      <c r="G108" s="589"/>
      <c r="H108" s="589"/>
      <c r="I108" s="589"/>
      <c r="J108" s="589"/>
      <c r="K108" s="589"/>
      <c r="L108" s="589"/>
      <c r="M108" s="589"/>
      <c r="N108" s="589"/>
      <c r="O108" s="589"/>
      <c r="P108" s="589"/>
      <c r="R108" s="6"/>
    </row>
    <row r="109" spans="2:18" ht="3.75" customHeight="1">
      <c r="B109" s="5"/>
      <c r="J109" s="145"/>
      <c r="R109" s="6"/>
    </row>
    <row r="110" spans="2:28" s="138" customFormat="1" ht="12">
      <c r="B110" s="134"/>
      <c r="C110" s="169" t="s">
        <v>58</v>
      </c>
      <c r="D110" s="135" t="s">
        <v>59</v>
      </c>
      <c r="E110" s="135" t="s">
        <v>34</v>
      </c>
      <c r="F110" s="622" t="s">
        <v>60</v>
      </c>
      <c r="G110" s="622"/>
      <c r="H110" s="622"/>
      <c r="I110" s="622"/>
      <c r="J110" s="170" t="s">
        <v>61</v>
      </c>
      <c r="K110" s="135" t="s">
        <v>62</v>
      </c>
      <c r="L110" s="623" t="s">
        <v>63</v>
      </c>
      <c r="M110" s="623"/>
      <c r="N110" s="622" t="s">
        <v>43</v>
      </c>
      <c r="O110" s="622"/>
      <c r="P110" s="622"/>
      <c r="Q110" s="624"/>
      <c r="R110" s="136"/>
      <c r="T110" s="137"/>
      <c r="U110" s="194"/>
      <c r="V110" s="194"/>
      <c r="W110" s="194"/>
      <c r="X110" s="194"/>
      <c r="Y110" s="194"/>
      <c r="Z110" s="194"/>
      <c r="AA110" s="194"/>
      <c r="AB110" s="194"/>
    </row>
    <row r="111" spans="2:28" ht="15.75">
      <c r="B111" s="5"/>
      <c r="C111" s="42" t="s">
        <v>40</v>
      </c>
      <c r="J111" s="145"/>
      <c r="N111" s="644">
        <f>N112</f>
        <v>0</v>
      </c>
      <c r="O111" s="645"/>
      <c r="P111" s="645"/>
      <c r="Q111" s="645"/>
      <c r="R111" s="6"/>
      <c r="T111" s="129">
        <f>SUM(N111:Q231)/4</f>
        <v>0</v>
      </c>
      <c r="U111" s="177">
        <f aca="true" t="shared" si="0" ref="U111:AB111">SUM(U112:U225)</f>
        <v>0</v>
      </c>
      <c r="V111" s="177">
        <f t="shared" si="0"/>
        <v>2.2169999999999996</v>
      </c>
      <c r="W111" s="177">
        <f t="shared" si="0"/>
        <v>188.67845</v>
      </c>
      <c r="X111" s="177">
        <f t="shared" si="0"/>
        <v>204.4216975</v>
      </c>
      <c r="Y111" s="177">
        <f t="shared" si="0"/>
        <v>1.8468</v>
      </c>
      <c r="Z111" s="177">
        <f t="shared" si="0"/>
        <v>50.484874</v>
      </c>
      <c r="AA111" s="177">
        <f t="shared" si="0"/>
        <v>154.65860299999997</v>
      </c>
      <c r="AB111" s="177">
        <f t="shared" si="0"/>
        <v>1.8</v>
      </c>
    </row>
    <row r="112" spans="2:29" s="143" customFormat="1" ht="15">
      <c r="B112" s="139"/>
      <c r="D112" s="164" t="s">
        <v>45</v>
      </c>
      <c r="E112" s="164"/>
      <c r="F112" s="164"/>
      <c r="G112" s="164"/>
      <c r="H112" s="164"/>
      <c r="I112" s="164"/>
      <c r="J112" s="171"/>
      <c r="K112" s="164"/>
      <c r="L112" s="164"/>
      <c r="M112" s="164"/>
      <c r="N112" s="629">
        <f>N113+N116+N221</f>
        <v>0</v>
      </c>
      <c r="O112" s="629"/>
      <c r="P112" s="629"/>
      <c r="Q112" s="629"/>
      <c r="R112" s="141"/>
      <c r="T112" s="142">
        <f>SUM(N112:Q230)/3</f>
        <v>0</v>
      </c>
      <c r="U112" s="177"/>
      <c r="V112" s="177"/>
      <c r="W112" s="177"/>
      <c r="X112" s="177"/>
      <c r="Y112" s="177"/>
      <c r="Z112" s="177"/>
      <c r="AA112" s="177"/>
      <c r="AB112" s="177"/>
      <c r="AC112" s="384"/>
    </row>
    <row r="113" spans="2:29" s="143" customFormat="1" ht="12.75">
      <c r="B113" s="139"/>
      <c r="C113" s="140"/>
      <c r="D113" s="140" t="s">
        <v>259</v>
      </c>
      <c r="E113" s="140"/>
      <c r="F113" s="140"/>
      <c r="G113" s="140"/>
      <c r="H113" s="140"/>
      <c r="I113" s="140"/>
      <c r="J113" s="172"/>
      <c r="K113" s="140"/>
      <c r="L113" s="186"/>
      <c r="M113" s="186"/>
      <c r="N113" s="633">
        <f>SUM(N114:Q115)</f>
        <v>0</v>
      </c>
      <c r="O113" s="633"/>
      <c r="P113" s="633"/>
      <c r="Q113" s="633"/>
      <c r="R113" s="141"/>
      <c r="T113" s="173">
        <f>SUM(N113:Q115)/2</f>
        <v>0</v>
      </c>
      <c r="U113" s="195"/>
      <c r="V113" s="195"/>
      <c r="W113" s="195"/>
      <c r="X113" s="195"/>
      <c r="Y113" s="195"/>
      <c r="Z113" s="195"/>
      <c r="AA113" s="177"/>
      <c r="AB113" s="177"/>
      <c r="AC113" s="384"/>
    </row>
    <row r="114" spans="2:23" ht="27" customHeight="1" outlineLevel="1">
      <c r="B114" s="5"/>
      <c r="C114" s="261"/>
      <c r="D114" s="261" t="s">
        <v>64</v>
      </c>
      <c r="E114" s="262">
        <v>113107171</v>
      </c>
      <c r="F114" s="625" t="s">
        <v>354</v>
      </c>
      <c r="G114" s="625"/>
      <c r="H114" s="625"/>
      <c r="I114" s="625"/>
      <c r="J114" s="174" t="s">
        <v>65</v>
      </c>
      <c r="K114" s="264">
        <f>SUM(K115:K115)</f>
        <v>111.7</v>
      </c>
      <c r="L114" s="626"/>
      <c r="M114" s="626"/>
      <c r="N114" s="619">
        <f>ROUND(L114*K114,2)</f>
        <v>0</v>
      </c>
      <c r="O114" s="619"/>
      <c r="P114" s="619"/>
      <c r="Q114" s="619"/>
      <c r="R114" s="6"/>
      <c r="T114" s="142"/>
      <c r="V114" s="177">
        <f>2.4*0.15</f>
        <v>0.36</v>
      </c>
      <c r="W114" s="177">
        <f>V114*K114</f>
        <v>40.211999999999996</v>
      </c>
    </row>
    <row r="115" spans="2:29" s="177" customFormat="1" ht="13.5" outlineLevel="1">
      <c r="B115" s="175"/>
      <c r="E115" s="319" t="s">
        <v>355</v>
      </c>
      <c r="F115" s="627" t="s">
        <v>784</v>
      </c>
      <c r="G115" s="628">
        <f>111.7</f>
        <v>111.7</v>
      </c>
      <c r="H115" s="628">
        <f>111.7</f>
        <v>111.7</v>
      </c>
      <c r="I115" s="628">
        <f>111.7</f>
        <v>111.7</v>
      </c>
      <c r="J115" s="176"/>
      <c r="K115" s="266">
        <f>111.7</f>
        <v>111.7</v>
      </c>
      <c r="L115" s="419"/>
      <c r="M115" s="419"/>
      <c r="R115" s="178"/>
      <c r="T115" s="142"/>
      <c r="AC115" s="386"/>
    </row>
    <row r="116" spans="2:29" s="143" customFormat="1" ht="12.75">
      <c r="B116" s="139"/>
      <c r="C116" s="140"/>
      <c r="D116" s="140" t="s">
        <v>100</v>
      </c>
      <c r="E116" s="140"/>
      <c r="F116" s="140"/>
      <c r="G116" s="140"/>
      <c r="H116" s="140"/>
      <c r="I116" s="140"/>
      <c r="J116" s="172"/>
      <c r="K116" s="140"/>
      <c r="L116" s="186"/>
      <c r="M116" s="186"/>
      <c r="N116" s="633">
        <f>SUM(N117:Q220)</f>
        <v>0</v>
      </c>
      <c r="O116" s="633"/>
      <c r="P116" s="633"/>
      <c r="Q116" s="633"/>
      <c r="R116" s="141"/>
      <c r="T116" s="142">
        <f>SUM(N116:Q220)/2</f>
        <v>0</v>
      </c>
      <c r="U116" s="177"/>
      <c r="V116" s="177"/>
      <c r="W116" s="177"/>
      <c r="X116" s="177"/>
      <c r="Y116" s="177"/>
      <c r="Z116" s="177"/>
      <c r="AA116" s="177"/>
      <c r="AB116" s="177"/>
      <c r="AC116" s="384"/>
    </row>
    <row r="117" spans="2:24" ht="13.5" outlineLevel="1">
      <c r="B117" s="5"/>
      <c r="C117" s="261"/>
      <c r="D117" s="261" t="s">
        <v>64</v>
      </c>
      <c r="E117" s="262">
        <v>961031411</v>
      </c>
      <c r="F117" s="625" t="s">
        <v>616</v>
      </c>
      <c r="G117" s="625"/>
      <c r="H117" s="625"/>
      <c r="I117" s="625"/>
      <c r="J117" s="174" t="s">
        <v>66</v>
      </c>
      <c r="K117" s="264">
        <f>SUM(K118:K120)</f>
        <v>39.77715</v>
      </c>
      <c r="L117" s="626"/>
      <c r="M117" s="626"/>
      <c r="N117" s="619">
        <f>ROUND(L117*K117,2)</f>
        <v>0</v>
      </c>
      <c r="O117" s="619"/>
      <c r="P117" s="619"/>
      <c r="Q117" s="619"/>
      <c r="R117" s="6"/>
      <c r="T117" s="142"/>
      <c r="X117" s="321">
        <f>K117</f>
        <v>39.77715</v>
      </c>
    </row>
    <row r="118" spans="2:29" s="177" customFormat="1" ht="13.5" outlineLevel="1">
      <c r="B118" s="175"/>
      <c r="E118" s="319" t="s">
        <v>617</v>
      </c>
      <c r="F118" s="627" t="s">
        <v>785</v>
      </c>
      <c r="G118" s="628">
        <f>(3.8+4.8+7.9)*2*0.5*0.7+(4.7*4+19.7)*0.7*0.7+2.5*1.2*0.7</f>
        <v>32.515</v>
      </c>
      <c r="H118" s="628">
        <f>(3.8+4.8+7.9)*2*0.5*0.7+(4.7*4+19.7)*0.7*0.7+2.5*1.2*0.7</f>
        <v>32.515</v>
      </c>
      <c r="I118" s="628">
        <f>(3.8+4.8+7.9)*2*0.5*0.7+(4.7*4+19.7)*0.7*0.7+2.5*1.2*0.7</f>
        <v>32.515</v>
      </c>
      <c r="J118" s="176"/>
      <c r="K118" s="266">
        <f>(3.8+4.8+7.9)*2*0.5*0.7+(4.7*4+19.7)*0.7*0.7+2.5*1.2*0.7</f>
        <v>32.515</v>
      </c>
      <c r="L118" s="419"/>
      <c r="M118" s="419"/>
      <c r="R118" s="178"/>
      <c r="T118" s="142"/>
      <c r="AC118" s="386"/>
    </row>
    <row r="119" spans="2:29" s="177" customFormat="1" ht="13.5" outlineLevel="1">
      <c r="B119" s="175"/>
      <c r="E119" s="319" t="s">
        <v>618</v>
      </c>
      <c r="F119" s="627" t="s">
        <v>786</v>
      </c>
      <c r="G119" s="628">
        <f>(6.7+6.65)*0.7*0.67+(0.5*0.2*0.7)</f>
        <v>6.331150000000001</v>
      </c>
      <c r="H119" s="628">
        <f>(6.7+6.65)*0.7*0.67+(0.5*0.2*0.7)</f>
        <v>6.331150000000001</v>
      </c>
      <c r="I119" s="628">
        <f>(6.7+6.65)*0.7*0.67+(0.5*0.2*0.7)</f>
        <v>6.331150000000001</v>
      </c>
      <c r="J119" s="176"/>
      <c r="K119" s="266">
        <f>(6.7+6.65)*0.7*0.67+(0.5*0.2*0.7)</f>
        <v>6.331150000000001</v>
      </c>
      <c r="L119" s="419"/>
      <c r="M119" s="419"/>
      <c r="R119" s="178"/>
      <c r="T119" s="142"/>
      <c r="AC119" s="386"/>
    </row>
    <row r="120" spans="2:29" s="177" customFormat="1" ht="13.5" outlineLevel="1">
      <c r="B120" s="175"/>
      <c r="E120" s="319" t="s">
        <v>620</v>
      </c>
      <c r="F120" s="627" t="s">
        <v>787</v>
      </c>
      <c r="G120" s="628">
        <f>1.9*0.7*0.7</f>
        <v>0.9309999999999998</v>
      </c>
      <c r="H120" s="628">
        <f>1.9*0.7*0.7</f>
        <v>0.9309999999999998</v>
      </c>
      <c r="I120" s="628">
        <f>1.9*0.7*0.7</f>
        <v>0.9309999999999998</v>
      </c>
      <c r="J120" s="176"/>
      <c r="K120" s="266">
        <f>1.9*0.7*0.7</f>
        <v>0.9309999999999998</v>
      </c>
      <c r="L120" s="419"/>
      <c r="M120" s="419"/>
      <c r="R120" s="178"/>
      <c r="T120" s="142"/>
      <c r="AC120" s="386"/>
    </row>
    <row r="121" spans="2:24" ht="13.5" outlineLevel="1">
      <c r="B121" s="5"/>
      <c r="C121" s="261"/>
      <c r="D121" s="261" t="s">
        <v>64</v>
      </c>
      <c r="E121" s="262">
        <v>962031133</v>
      </c>
      <c r="F121" s="625" t="s">
        <v>648</v>
      </c>
      <c r="G121" s="625"/>
      <c r="H121" s="625"/>
      <c r="I121" s="625"/>
      <c r="J121" s="174" t="s">
        <v>65</v>
      </c>
      <c r="K121" s="264">
        <f>SUM(K122:K123)</f>
        <v>86.19</v>
      </c>
      <c r="L121" s="626"/>
      <c r="M121" s="626"/>
      <c r="N121" s="619">
        <f>ROUND(L121*K121,2)</f>
        <v>0</v>
      </c>
      <c r="O121" s="619"/>
      <c r="P121" s="619"/>
      <c r="Q121" s="619"/>
      <c r="R121" s="6"/>
      <c r="T121" s="142"/>
      <c r="V121" s="177">
        <f>0.15</f>
        <v>0.15</v>
      </c>
      <c r="X121" s="177">
        <f>V121*K121</f>
        <v>12.9285</v>
      </c>
    </row>
    <row r="122" spans="2:29" s="177" customFormat="1" ht="13.5" outlineLevel="1">
      <c r="B122" s="175"/>
      <c r="E122" s="319" t="s">
        <v>649</v>
      </c>
      <c r="F122" s="627" t="s">
        <v>788</v>
      </c>
      <c r="G122" s="628">
        <f>1.1*2.2+1*2+(4+1.1*3+2.6+1.1*2+1.8)*3+1.3*2.1+0.4*2.3</f>
        <v>49.77000000000001</v>
      </c>
      <c r="H122" s="628">
        <f>1.1*2.2+1*2+(4+1.1*3+2.6+1.1*2+1.8)*3+1.3*2.1+0.4*2.3</f>
        <v>49.77000000000001</v>
      </c>
      <c r="I122" s="628">
        <f>1.1*2.2+1*2+(4+1.1*3+2.6+1.1*2+1.8)*3+1.3*2.1+0.4*2.3</f>
        <v>49.77000000000001</v>
      </c>
      <c r="J122" s="176"/>
      <c r="K122" s="266">
        <f>1.1*2.2+1*2+(4+1.1*3+2.6+1.1*2+1.8)*3+1.3*2.1+0.4*2.3</f>
        <v>49.77000000000001</v>
      </c>
      <c r="L122" s="419"/>
      <c r="M122" s="419"/>
      <c r="R122" s="178"/>
      <c r="T122" s="142"/>
      <c r="AC122" s="386"/>
    </row>
    <row r="123" spans="2:29" s="177" customFormat="1" ht="13.5" outlineLevel="1">
      <c r="B123" s="175"/>
      <c r="E123" s="319" t="s">
        <v>650</v>
      </c>
      <c r="F123" s="627" t="s">
        <v>789</v>
      </c>
      <c r="G123" s="628">
        <f>1*2.2+4*2.8+5.3*3.4+1.3*2.8+0.4*3.4</f>
        <v>36.419999999999995</v>
      </c>
      <c r="H123" s="628">
        <f>1*2.2+4*2.8+5.3*3.4+1.3*2.8+0.4*3.4</f>
        <v>36.419999999999995</v>
      </c>
      <c r="I123" s="628">
        <f>1*2.2+4*2.8+5.3*3.4+1.3*2.8+0.4*3.4</f>
        <v>36.419999999999995</v>
      </c>
      <c r="J123" s="176"/>
      <c r="K123" s="266">
        <f>1*2.2+4*2.8+5.3*3.4+1.3*2.8+0.4*3.4</f>
        <v>36.419999999999995</v>
      </c>
      <c r="L123" s="419"/>
      <c r="M123" s="419"/>
      <c r="R123" s="178"/>
      <c r="T123" s="142"/>
      <c r="AC123" s="386"/>
    </row>
    <row r="124" spans="2:24" ht="13.5" outlineLevel="1">
      <c r="B124" s="5"/>
      <c r="C124" s="261"/>
      <c r="D124" s="261" t="s">
        <v>64</v>
      </c>
      <c r="E124" s="262">
        <v>962032230</v>
      </c>
      <c r="F124" s="625" t="s">
        <v>368</v>
      </c>
      <c r="G124" s="625"/>
      <c r="H124" s="625"/>
      <c r="I124" s="625"/>
      <c r="J124" s="174" t="s">
        <v>66</v>
      </c>
      <c r="K124" s="264">
        <f>SUM(K125:K134)</f>
        <v>75.1080475</v>
      </c>
      <c r="L124" s="626"/>
      <c r="M124" s="626"/>
      <c r="N124" s="619">
        <f>ROUND(L124*K124,2)</f>
        <v>0</v>
      </c>
      <c r="O124" s="619"/>
      <c r="P124" s="619"/>
      <c r="Q124" s="619"/>
      <c r="R124" s="6"/>
      <c r="T124" s="142"/>
      <c r="X124" s="321">
        <f>K124</f>
        <v>75.1080475</v>
      </c>
    </row>
    <row r="125" spans="2:29" s="177" customFormat="1" ht="13.5" outlineLevel="1">
      <c r="B125" s="175"/>
      <c r="E125" s="319" t="s">
        <v>614</v>
      </c>
      <c r="F125" s="627" t="s">
        <v>790</v>
      </c>
      <c r="G125" s="628">
        <f>0.19*(8.3+0.83)</f>
        <v>1.7347000000000001</v>
      </c>
      <c r="H125" s="628">
        <f>0.19*(8.3+0.83)</f>
        <v>1.7347000000000001</v>
      </c>
      <c r="I125" s="628">
        <f>0.19*(8.3+0.83)</f>
        <v>1.7347000000000001</v>
      </c>
      <c r="J125" s="176"/>
      <c r="K125" s="266">
        <f>0.19*(8.3+0.83)</f>
        <v>1.7347000000000001</v>
      </c>
      <c r="L125" s="419"/>
      <c r="M125" s="419"/>
      <c r="R125" s="178"/>
      <c r="T125" s="142"/>
      <c r="AC125" s="386"/>
    </row>
    <row r="126" spans="2:29" s="177" customFormat="1" ht="13.5" outlineLevel="1">
      <c r="B126" s="175"/>
      <c r="E126" s="319" t="s">
        <v>615</v>
      </c>
      <c r="F126" s="627" t="s">
        <v>786</v>
      </c>
      <c r="G126" s="628">
        <f>(6.7+6.65)*0.7*0.67+(0.5*0.2*0.7)</f>
        <v>6.331150000000001</v>
      </c>
      <c r="H126" s="628">
        <f>(6.7+6.65)*0.7*0.67+(0.5*0.2*0.7)</f>
        <v>6.331150000000001</v>
      </c>
      <c r="I126" s="628">
        <f>(6.7+6.65)*0.7*0.67+(0.5*0.2*0.7)</f>
        <v>6.331150000000001</v>
      </c>
      <c r="J126" s="176"/>
      <c r="K126" s="266">
        <f>(6.7+6.65)*0.7*0.67+(0.5*0.2*0.7)</f>
        <v>6.331150000000001</v>
      </c>
      <c r="L126" s="419"/>
      <c r="M126" s="419"/>
      <c r="R126" s="178"/>
      <c r="T126" s="142"/>
      <c r="AC126" s="386"/>
    </row>
    <row r="127" spans="2:29" s="177" customFormat="1" ht="13.5" outlineLevel="1">
      <c r="B127" s="175"/>
      <c r="E127" s="319" t="s">
        <v>622</v>
      </c>
      <c r="F127" s="627" t="s">
        <v>791</v>
      </c>
      <c r="G127" s="628">
        <f>0.915*1.65*0.25</f>
        <v>0.3774375</v>
      </c>
      <c r="H127" s="628">
        <f>0.915*1.65*0.25</f>
        <v>0.3774375</v>
      </c>
      <c r="I127" s="628">
        <f>0.915*1.65*0.25</f>
        <v>0.3774375</v>
      </c>
      <c r="J127" s="176"/>
      <c r="K127" s="266">
        <f>0.915*1.65*0.25</f>
        <v>0.3774375</v>
      </c>
      <c r="L127" s="419"/>
      <c r="M127" s="419"/>
      <c r="R127" s="178"/>
      <c r="T127" s="142"/>
      <c r="AC127" s="386"/>
    </row>
    <row r="128" spans="2:29" s="177" customFormat="1" ht="13.5" outlineLevel="1">
      <c r="B128" s="175"/>
      <c r="E128" s="319" t="s">
        <v>629</v>
      </c>
      <c r="F128" s="627" t="s">
        <v>792</v>
      </c>
      <c r="G128" s="628">
        <f aca="true" t="shared" si="1" ref="G128:I129">4*0.9*0.25</f>
        <v>0.9</v>
      </c>
      <c r="H128" s="628">
        <f t="shared" si="1"/>
        <v>0.9</v>
      </c>
      <c r="I128" s="628">
        <f t="shared" si="1"/>
        <v>0.9</v>
      </c>
      <c r="J128" s="176"/>
      <c r="K128" s="266">
        <f>4*0.9*0.25</f>
        <v>0.9</v>
      </c>
      <c r="L128" s="419"/>
      <c r="M128" s="419"/>
      <c r="R128" s="178"/>
      <c r="T128" s="142"/>
      <c r="AC128" s="386"/>
    </row>
    <row r="129" spans="2:29" s="177" customFormat="1" ht="13.5" outlineLevel="1">
      <c r="B129" s="175"/>
      <c r="E129" s="319" t="s">
        <v>628</v>
      </c>
      <c r="F129" s="627" t="s">
        <v>792</v>
      </c>
      <c r="G129" s="628">
        <f t="shared" si="1"/>
        <v>0.9</v>
      </c>
      <c r="H129" s="628">
        <f t="shared" si="1"/>
        <v>0.9</v>
      </c>
      <c r="I129" s="628">
        <f t="shared" si="1"/>
        <v>0.9</v>
      </c>
      <c r="J129" s="176"/>
      <c r="K129" s="266">
        <f>4*0.9*0.25</f>
        <v>0.9</v>
      </c>
      <c r="L129" s="419"/>
      <c r="M129" s="419"/>
      <c r="R129" s="178"/>
      <c r="T129" s="142"/>
      <c r="AC129" s="386"/>
    </row>
    <row r="130" spans="2:29" s="177" customFormat="1" ht="13.5" outlineLevel="1">
      <c r="B130" s="175"/>
      <c r="E130" s="319" t="s">
        <v>619</v>
      </c>
      <c r="F130" s="627" t="s">
        <v>793</v>
      </c>
      <c r="G130" s="628">
        <f>1.4*1.9*0.7</f>
        <v>1.8619999999999997</v>
      </c>
      <c r="H130" s="628">
        <f>1.4*1.9*0.7</f>
        <v>1.8619999999999997</v>
      </c>
      <c r="I130" s="628">
        <f>1.4*1.9*0.7</f>
        <v>1.8619999999999997</v>
      </c>
      <c r="J130" s="176"/>
      <c r="K130" s="266">
        <f>1.4*1.9*0.7</f>
        <v>1.8619999999999997</v>
      </c>
      <c r="L130" s="419"/>
      <c r="M130" s="419"/>
      <c r="R130" s="178"/>
      <c r="T130" s="142"/>
      <c r="AC130" s="386"/>
    </row>
    <row r="131" spans="2:29" s="177" customFormat="1" ht="13.5" outlineLevel="1">
      <c r="B131" s="175"/>
      <c r="E131" s="319" t="s">
        <v>369</v>
      </c>
      <c r="F131" s="627" t="s">
        <v>794</v>
      </c>
      <c r="G131" s="628">
        <f>1.1*1.08*1.12+1*0.75*0.52+1*0.75*0.25+2.85*0.35*0.2</f>
        <v>2.1075600000000003</v>
      </c>
      <c r="H131" s="628">
        <f>1.1*1.08*1.12+1*0.75*0.52+1*0.75*0.25+2.85*0.35*0.2</f>
        <v>2.1075600000000003</v>
      </c>
      <c r="I131" s="628">
        <f>1.1*1.08*1.12+1*0.75*0.52+1*0.75*0.25+2.85*0.35*0.2</f>
        <v>2.1075600000000003</v>
      </c>
      <c r="J131" s="176"/>
      <c r="K131" s="266">
        <f>1.1*1.08*1.12+1*0.75*0.52+1*0.75*0.25+2.85*0.35*0.2</f>
        <v>2.1075600000000003</v>
      </c>
      <c r="L131" s="419"/>
      <c r="M131" s="419"/>
      <c r="R131" s="178"/>
      <c r="T131" s="142"/>
      <c r="AC131" s="386"/>
    </row>
    <row r="132" spans="2:29" s="177" customFormat="1" ht="22.5" outlineLevel="1">
      <c r="B132" s="175"/>
      <c r="E132" s="319" t="s">
        <v>621</v>
      </c>
      <c r="F132" s="627" t="s">
        <v>2041</v>
      </c>
      <c r="G132" s="628">
        <f>0.25*0.5*2.4*2+0.65*2.36*0.3+0.8*0.85*0.15*6+(3.7*3.77-1.25*2)*0.4+0.2*0.3*2.2*2+1.4*2.25*0.3+0.8*0.2*2.8+16*0.4*2.75*2</f>
        <v>43.1088</v>
      </c>
      <c r="H132" s="628">
        <f>0.25*0.5*2.4*2+0.65*2.36*0.3+0.8*0.85*0.15*6+(3.7*3.77-1.25*2)*0.4+0.2*0.3*2.2*2+1.4*2.25*0.3+0.8*0.2*2.8+16*0.4*2.75*2</f>
        <v>43.1088</v>
      </c>
      <c r="I132" s="628">
        <f>0.25*0.5*2.4*2+0.65*2.36*0.3+0.8*0.85*0.15*6+(3.7*3.77-1.25*2)*0.4+0.2*0.3*2.2*2+1.4*2.25*0.3+0.8*0.2*2.8+16*0.4*2.75*2</f>
        <v>43.1088</v>
      </c>
      <c r="J132" s="176"/>
      <c r="K132" s="266">
        <f>0.25*0.5*2.4*2+0.65*2.36*0.3+0.8*0.85*0.15*6+(3.7*3.77-1.25*2)*0.4+0.2*0.3*2.2*2+1.4*2.25*0.3+0.8*0.2*2.8+16*0.4*2.75*2+0.75*0.28*2*2.435</f>
        <v>44.1315</v>
      </c>
      <c r="L132" s="419"/>
      <c r="M132" s="419"/>
      <c r="R132" s="178"/>
      <c r="T132" s="142"/>
      <c r="AC132" s="386"/>
    </row>
    <row r="133" spans="2:29" s="177" customFormat="1" ht="36" customHeight="1" outlineLevel="1">
      <c r="B133" s="175"/>
      <c r="E133" s="319" t="s">
        <v>623</v>
      </c>
      <c r="F133" s="627" t="s">
        <v>795</v>
      </c>
      <c r="G133" s="628">
        <f>1.5*2.25*0.3+0.35*0.35*1.6+(0.8+0.2)*0.7*3.38+0.1*0.2*2.225*2*2+1*2.2*0.25+3.1*3.26*0.2</f>
        <v>6.323699999999999</v>
      </c>
      <c r="H133" s="628">
        <f>1.5*2.25*0.3+0.35*0.35*1.6+(0.8+0.2)*0.7*3.38+0.1*0.2*2.225*2*2+1*2.2*0.25+3.1*3.26*0.2</f>
        <v>6.323699999999999</v>
      </c>
      <c r="I133" s="628">
        <f>1.5*2.25*0.3+0.35*0.35*1.6+(0.8+0.2)*0.7*3.38+0.1*0.2*2.225*2*2+1*2.2*0.25+3.1*3.26*0.2</f>
        <v>6.323699999999999</v>
      </c>
      <c r="J133" s="176"/>
      <c r="K133" s="266">
        <f>1.5*2.25*0.3+0.35*0.35*1.6+(0.8+0.2)*0.7*3.38+0.1*0.2*2.225*2*2+1*2.2*0.25+3.1*3.26*0.2</f>
        <v>6.323699999999999</v>
      </c>
      <c r="L133" s="419"/>
      <c r="M133" s="419"/>
      <c r="R133" s="178"/>
      <c r="T133" s="142"/>
      <c r="AC133" s="386"/>
    </row>
    <row r="134" spans="2:29" s="177" customFormat="1" ht="22.5" outlineLevel="1">
      <c r="B134" s="175"/>
      <c r="E134" s="319" t="s">
        <v>624</v>
      </c>
      <c r="F134" s="627" t="s">
        <v>2048</v>
      </c>
      <c r="G134" s="628">
        <f>(1.4+1.5)*2*(0.25*0.6)*12+0.35*0.45*2.3</f>
        <v>10.802249999999999</v>
      </c>
      <c r="H134" s="628">
        <f>(1.4+1.5)*2*(0.25*0.6)*12+0.35*0.45*2.3</f>
        <v>10.802249999999999</v>
      </c>
      <c r="I134" s="628">
        <f>(1.4+1.5)*2*(0.25*0.6)*12+0.35*0.45*2.3</f>
        <v>10.802249999999999</v>
      </c>
      <c r="J134" s="176"/>
      <c r="K134" s="266">
        <f>(1.4+1.5)*2*(0.25*0.6)*12</f>
        <v>10.44</v>
      </c>
      <c r="L134" s="419"/>
      <c r="M134" s="419"/>
      <c r="R134" s="178"/>
      <c r="T134" s="142"/>
      <c r="AC134" s="386"/>
    </row>
    <row r="135" spans="2:23" ht="13.5" outlineLevel="1">
      <c r="B135" s="5"/>
      <c r="C135" s="261"/>
      <c r="D135" s="261" t="s">
        <v>64</v>
      </c>
      <c r="E135" s="262">
        <v>962081131</v>
      </c>
      <c r="F135" s="625" t="s">
        <v>633</v>
      </c>
      <c r="G135" s="625"/>
      <c r="H135" s="625"/>
      <c r="I135" s="625"/>
      <c r="J135" s="174" t="s">
        <v>65</v>
      </c>
      <c r="K135" s="264">
        <f>SUM(K136:K137)</f>
        <v>9.6</v>
      </c>
      <c r="L135" s="626"/>
      <c r="M135" s="626"/>
      <c r="N135" s="619">
        <f>ROUND(L135*K135,2)</f>
        <v>0</v>
      </c>
      <c r="O135" s="619"/>
      <c r="P135" s="619"/>
      <c r="Q135" s="619"/>
      <c r="R135" s="6"/>
      <c r="T135" s="142"/>
      <c r="V135" s="177">
        <v>0.17</v>
      </c>
      <c r="W135" s="177">
        <f>V135*K135</f>
        <v>1.6320000000000001</v>
      </c>
    </row>
    <row r="136" spans="2:29" s="177" customFormat="1" ht="13.5" outlineLevel="1">
      <c r="B136" s="175"/>
      <c r="E136" s="319" t="s">
        <v>634</v>
      </c>
      <c r="F136" s="627" t="s">
        <v>796</v>
      </c>
      <c r="G136" s="628">
        <f>1*1.4*2</f>
        <v>2.8</v>
      </c>
      <c r="H136" s="628">
        <f>1*1.4*2</f>
        <v>2.8</v>
      </c>
      <c r="I136" s="628">
        <f>1*1.4*2</f>
        <v>2.8</v>
      </c>
      <c r="J136" s="176"/>
      <c r="K136" s="266">
        <f>1*1.4*2</f>
        <v>2.8</v>
      </c>
      <c r="L136" s="419"/>
      <c r="M136" s="419"/>
      <c r="R136" s="178"/>
      <c r="T136" s="142"/>
      <c r="AC136" s="386"/>
    </row>
    <row r="137" spans="2:29" s="177" customFormat="1" ht="13.5" outlineLevel="1">
      <c r="B137" s="175"/>
      <c r="E137" s="319" t="s">
        <v>635</v>
      </c>
      <c r="F137" s="627" t="s">
        <v>797</v>
      </c>
      <c r="G137" s="628">
        <f>1*1.2*3+1*1.6*2</f>
        <v>6.8</v>
      </c>
      <c r="H137" s="628">
        <f>1*1.2*3+1*1.6*2</f>
        <v>6.8</v>
      </c>
      <c r="I137" s="628">
        <f>1*1.2*3+1*1.6*2</f>
        <v>6.8</v>
      </c>
      <c r="J137" s="176"/>
      <c r="K137" s="266">
        <f>1*1.2*3+1*1.6*2</f>
        <v>6.8</v>
      </c>
      <c r="L137" s="419"/>
      <c r="M137" s="419"/>
      <c r="R137" s="178"/>
      <c r="T137" s="142"/>
      <c r="AC137" s="386"/>
    </row>
    <row r="138" spans="2:23" ht="13.5" outlineLevel="1">
      <c r="B138" s="5"/>
      <c r="C138" s="261"/>
      <c r="D138" s="261" t="s">
        <v>64</v>
      </c>
      <c r="E138" s="262" t="s">
        <v>651</v>
      </c>
      <c r="F138" s="625" t="s">
        <v>652</v>
      </c>
      <c r="G138" s="625"/>
      <c r="H138" s="625"/>
      <c r="I138" s="625"/>
      <c r="J138" s="174" t="s">
        <v>66</v>
      </c>
      <c r="K138" s="264">
        <f>SUM(K139:K140)</f>
        <v>2.091</v>
      </c>
      <c r="L138" s="626"/>
      <c r="M138" s="626"/>
      <c r="N138" s="619">
        <f>ROUND(L138*K138,2)</f>
        <v>0</v>
      </c>
      <c r="O138" s="619"/>
      <c r="P138" s="619"/>
      <c r="Q138" s="619"/>
      <c r="R138" s="6"/>
      <c r="T138" s="142"/>
      <c r="W138" s="321">
        <f>K138</f>
        <v>2.091</v>
      </c>
    </row>
    <row r="139" spans="2:29" s="177" customFormat="1" ht="13.5" outlineLevel="1">
      <c r="B139" s="175"/>
      <c r="E139" s="319" t="s">
        <v>653</v>
      </c>
      <c r="F139" s="627" t="s">
        <v>798</v>
      </c>
      <c r="G139" s="627" t="e">
        <f>3.45*2*F139</f>
        <v>#VALUE!</v>
      </c>
      <c r="H139" s="627" t="e">
        <f>3.45*2*G139</f>
        <v>#VALUE!</v>
      </c>
      <c r="I139" s="627" t="e">
        <f>3.45*2*H139</f>
        <v>#VALUE!</v>
      </c>
      <c r="J139" s="176">
        <v>0.25</v>
      </c>
      <c r="K139" s="266">
        <f>3.45*2*J139</f>
        <v>1.725</v>
      </c>
      <c r="L139" s="419"/>
      <c r="M139" s="419"/>
      <c r="R139" s="178"/>
      <c r="T139" s="142"/>
      <c r="AC139" s="386"/>
    </row>
    <row r="140" spans="2:29" s="177" customFormat="1" ht="13.5" outlineLevel="1">
      <c r="B140" s="175"/>
      <c r="E140" s="319" t="s">
        <v>654</v>
      </c>
      <c r="F140" s="627" t="s">
        <v>799</v>
      </c>
      <c r="G140" s="627" t="e">
        <f>(1.2*0.6+1*0.5)*F140</f>
        <v>#VALUE!</v>
      </c>
      <c r="H140" s="627" t="e">
        <f>(1.2*0.6+1*0.5)*G140</f>
        <v>#VALUE!</v>
      </c>
      <c r="I140" s="627" t="e">
        <f>(1.2*0.6+1*0.5)*H140</f>
        <v>#VALUE!</v>
      </c>
      <c r="J140" s="176">
        <v>0.3</v>
      </c>
      <c r="K140" s="266">
        <f>(1.2*0.6+1*0.5)*J140</f>
        <v>0.366</v>
      </c>
      <c r="L140" s="419"/>
      <c r="M140" s="419"/>
      <c r="R140" s="178"/>
      <c r="T140" s="142"/>
      <c r="AC140" s="386"/>
    </row>
    <row r="141" spans="2:23" ht="13.5" outlineLevel="1">
      <c r="B141" s="5"/>
      <c r="C141" s="261"/>
      <c r="D141" s="261" t="s">
        <v>64</v>
      </c>
      <c r="E141" s="262">
        <v>963023711</v>
      </c>
      <c r="F141" s="625" t="s">
        <v>357</v>
      </c>
      <c r="G141" s="625"/>
      <c r="H141" s="625"/>
      <c r="I141" s="625"/>
      <c r="J141" s="174" t="s">
        <v>70</v>
      </c>
      <c r="K141" s="264">
        <f>SUM(K142:K142)</f>
        <v>5.2</v>
      </c>
      <c r="L141" s="626"/>
      <c r="M141" s="626"/>
      <c r="N141" s="619">
        <f>ROUND(L141*K141,2)</f>
        <v>0</v>
      </c>
      <c r="O141" s="619"/>
      <c r="P141" s="619"/>
      <c r="Q141" s="619"/>
      <c r="R141" s="6"/>
      <c r="T141" s="142"/>
      <c r="V141" s="177">
        <f>0.2*0.3/2</f>
        <v>0.03</v>
      </c>
      <c r="W141" s="177">
        <f>V141*K141</f>
        <v>0.156</v>
      </c>
    </row>
    <row r="142" spans="2:29" s="177" customFormat="1" ht="13.5" outlineLevel="1">
      <c r="B142" s="175"/>
      <c r="E142" s="319" t="s">
        <v>627</v>
      </c>
      <c r="F142" s="627" t="s">
        <v>800</v>
      </c>
      <c r="G142" s="628">
        <f>2.6*2</f>
        <v>5.2</v>
      </c>
      <c r="H142" s="628">
        <f>2.6*2</f>
        <v>5.2</v>
      </c>
      <c r="I142" s="628">
        <f>2.6*2</f>
        <v>5.2</v>
      </c>
      <c r="J142" s="176"/>
      <c r="K142" s="266">
        <f>2.6*2</f>
        <v>5.2</v>
      </c>
      <c r="L142" s="419"/>
      <c r="M142" s="419"/>
      <c r="R142" s="178"/>
      <c r="T142" s="142"/>
      <c r="AC142" s="386"/>
    </row>
    <row r="143" spans="2:23" ht="13.5" outlineLevel="1">
      <c r="B143" s="5"/>
      <c r="C143" s="261"/>
      <c r="D143" s="261" t="s">
        <v>64</v>
      </c>
      <c r="E143" s="262">
        <v>963042819</v>
      </c>
      <c r="F143" s="625" t="s">
        <v>370</v>
      </c>
      <c r="G143" s="625"/>
      <c r="H143" s="625"/>
      <c r="I143" s="625"/>
      <c r="J143" s="174" t="s">
        <v>70</v>
      </c>
      <c r="K143" s="264">
        <f>SUM(K144:K145)</f>
        <v>9.2</v>
      </c>
      <c r="L143" s="626"/>
      <c r="M143" s="626"/>
      <c r="N143" s="619">
        <f>ROUND(L143*K143,2)</f>
        <v>0</v>
      </c>
      <c r="O143" s="619"/>
      <c r="P143" s="619"/>
      <c r="Q143" s="619"/>
      <c r="R143" s="6"/>
      <c r="T143" s="142"/>
      <c r="V143" s="177">
        <f>0.2*0.3/2</f>
        <v>0.03</v>
      </c>
      <c r="W143" s="177">
        <f>V143*K143</f>
        <v>0.27599999999999997</v>
      </c>
    </row>
    <row r="144" spans="2:29" s="177" customFormat="1" ht="13.5" outlineLevel="1">
      <c r="B144" s="175"/>
      <c r="E144" s="319" t="s">
        <v>625</v>
      </c>
      <c r="F144" s="627" t="s">
        <v>801</v>
      </c>
      <c r="G144" s="628">
        <f>2*3</f>
        <v>6</v>
      </c>
      <c r="H144" s="628">
        <f>2*3</f>
        <v>6</v>
      </c>
      <c r="I144" s="628">
        <f>2*3</f>
        <v>6</v>
      </c>
      <c r="J144" s="176"/>
      <c r="K144" s="266">
        <f>2*3</f>
        <v>6</v>
      </c>
      <c r="L144" s="419"/>
      <c r="M144" s="419"/>
      <c r="R144" s="178"/>
      <c r="T144" s="142"/>
      <c r="AC144" s="386"/>
    </row>
    <row r="145" spans="2:29" s="177" customFormat="1" ht="13.5" outlineLevel="1">
      <c r="B145" s="175"/>
      <c r="E145" s="319" t="s">
        <v>626</v>
      </c>
      <c r="F145" s="627" t="s">
        <v>802</v>
      </c>
      <c r="G145" s="628">
        <f>1.6*2</f>
        <v>3.2</v>
      </c>
      <c r="H145" s="628">
        <f>1.6*2</f>
        <v>3.2</v>
      </c>
      <c r="I145" s="628">
        <f>1.6*2</f>
        <v>3.2</v>
      </c>
      <c r="J145" s="176"/>
      <c r="K145" s="266">
        <f>1.6*2</f>
        <v>3.2</v>
      </c>
      <c r="L145" s="419"/>
      <c r="M145" s="419"/>
      <c r="R145" s="178"/>
      <c r="T145" s="142"/>
      <c r="AC145" s="386"/>
    </row>
    <row r="146" spans="2:23" ht="27" customHeight="1" outlineLevel="1">
      <c r="B146" s="5"/>
      <c r="C146" s="261"/>
      <c r="D146" s="261" t="s">
        <v>64</v>
      </c>
      <c r="E146" s="262" t="s">
        <v>378</v>
      </c>
      <c r="F146" s="625" t="s">
        <v>379</v>
      </c>
      <c r="G146" s="625"/>
      <c r="H146" s="625"/>
      <c r="I146" s="625"/>
      <c r="J146" s="174" t="s">
        <v>66</v>
      </c>
      <c r="K146" s="264">
        <f>SUM(K147:K149)</f>
        <v>95.03945</v>
      </c>
      <c r="L146" s="626"/>
      <c r="M146" s="626"/>
      <c r="N146" s="619">
        <f>ROUND(L146*K146,2)</f>
        <v>0</v>
      </c>
      <c r="O146" s="619"/>
      <c r="P146" s="619"/>
      <c r="Q146" s="619"/>
      <c r="R146" s="6"/>
      <c r="T146" s="142"/>
      <c r="W146" s="321">
        <f>K146</f>
        <v>95.03945</v>
      </c>
    </row>
    <row r="147" spans="2:29" s="177" customFormat="1" ht="22.5" outlineLevel="1">
      <c r="B147" s="175"/>
      <c r="E147" s="319" t="s">
        <v>609</v>
      </c>
      <c r="F147" s="627" t="s">
        <v>803</v>
      </c>
      <c r="G147" s="628" t="e">
        <f>142.9*F147</f>
        <v>#VALUE!</v>
      </c>
      <c r="H147" s="628" t="e">
        <f>142.9*G147</f>
        <v>#VALUE!</v>
      </c>
      <c r="I147" s="628" t="e">
        <f>142.9*H147</f>
        <v>#VALUE!</v>
      </c>
      <c r="J147" s="176">
        <v>0.25</v>
      </c>
      <c r="K147" s="266">
        <f>142.9*J147</f>
        <v>35.725</v>
      </c>
      <c r="L147" s="419"/>
      <c r="M147" s="419"/>
      <c r="R147" s="178"/>
      <c r="T147" s="142"/>
      <c r="AC147" s="386"/>
    </row>
    <row r="148" spans="2:29" s="177" customFormat="1" ht="22.5" outlineLevel="1">
      <c r="B148" s="175"/>
      <c r="E148" s="319" t="s">
        <v>610</v>
      </c>
      <c r="F148" s="627" t="s">
        <v>804</v>
      </c>
      <c r="G148" s="628" t="e">
        <f>(22.76+27.72+40.52)*F148</f>
        <v>#VALUE!</v>
      </c>
      <c r="H148" s="628" t="e">
        <f>(22.76+27.72+40.52)*G148</f>
        <v>#VALUE!</v>
      </c>
      <c r="I148" s="628" t="e">
        <f>(22.76+27.72+40.52)*H148</f>
        <v>#VALUE!</v>
      </c>
      <c r="J148" s="176">
        <v>0.235</v>
      </c>
      <c r="K148" s="266">
        <f>(22.76+27.72+40.52)*J148</f>
        <v>21.384999999999998</v>
      </c>
      <c r="L148" s="419"/>
      <c r="M148" s="419"/>
      <c r="R148" s="178"/>
      <c r="T148" s="142"/>
      <c r="AC148" s="386"/>
    </row>
    <row r="149" spans="2:29" s="177" customFormat="1" ht="22.5" outlineLevel="1">
      <c r="B149" s="175"/>
      <c r="E149" s="319" t="s">
        <v>611</v>
      </c>
      <c r="F149" s="627" t="s">
        <v>805</v>
      </c>
      <c r="G149" s="628" t="e">
        <f>(20+15.1+30.61+4.95+2.28+23.93+28.19+18.07)*F149</f>
        <v>#VALUE!</v>
      </c>
      <c r="H149" s="628" t="e">
        <f>(20+15.1+30.61+4.95+2.28+23.93+28.19+18.07)*G149</f>
        <v>#VALUE!</v>
      </c>
      <c r="I149" s="628" t="e">
        <f>(20+15.1+30.61+4.95+2.28+23.93+28.19+18.07)*H149</f>
        <v>#VALUE!</v>
      </c>
      <c r="J149" s="176">
        <v>0.265</v>
      </c>
      <c r="K149" s="266">
        <f>(20+15.1+30.61+4.95+2.28+23.93+28.19+18.07)*J149</f>
        <v>37.92945</v>
      </c>
      <c r="L149" s="419"/>
      <c r="M149" s="419"/>
      <c r="R149" s="178"/>
      <c r="T149" s="142"/>
      <c r="AC149" s="386"/>
    </row>
    <row r="150" spans="2:23" ht="27" customHeight="1" outlineLevel="1">
      <c r="B150" s="5"/>
      <c r="C150" s="261"/>
      <c r="D150" s="261" t="s">
        <v>64</v>
      </c>
      <c r="E150" s="262" t="s">
        <v>655</v>
      </c>
      <c r="F150" s="625" t="s">
        <v>656</v>
      </c>
      <c r="G150" s="625"/>
      <c r="H150" s="625"/>
      <c r="I150" s="625"/>
      <c r="J150" s="174" t="s">
        <v>65</v>
      </c>
      <c r="K150" s="264">
        <f>SUM(K151:K151)</f>
        <v>19.26</v>
      </c>
      <c r="L150" s="626"/>
      <c r="M150" s="626"/>
      <c r="N150" s="619">
        <f>ROUND(L150*K150,2)</f>
        <v>0</v>
      </c>
      <c r="O150" s="619"/>
      <c r="P150" s="619"/>
      <c r="Q150" s="619"/>
      <c r="R150" s="6"/>
      <c r="T150" s="142"/>
      <c r="W150" s="321">
        <f>K150</f>
        <v>19.26</v>
      </c>
    </row>
    <row r="151" spans="2:29" s="177" customFormat="1" ht="13.5" outlineLevel="1">
      <c r="B151" s="175"/>
      <c r="E151" s="319" t="s">
        <v>85</v>
      </c>
      <c r="F151" s="627" t="s">
        <v>806</v>
      </c>
      <c r="G151" s="628">
        <f>19.26</f>
        <v>19.26</v>
      </c>
      <c r="H151" s="628">
        <f>19.26</f>
        <v>19.26</v>
      </c>
      <c r="I151" s="628">
        <f>19.26</f>
        <v>19.26</v>
      </c>
      <c r="J151" s="176"/>
      <c r="K151" s="266">
        <f>19.26</f>
        <v>19.26</v>
      </c>
      <c r="L151" s="419"/>
      <c r="M151" s="419"/>
      <c r="R151" s="178"/>
      <c r="T151" s="142"/>
      <c r="AC151" s="386"/>
    </row>
    <row r="152" spans="2:24" ht="13.5" outlineLevel="1">
      <c r="B152" s="5"/>
      <c r="C152" s="261"/>
      <c r="D152" s="261" t="s">
        <v>71</v>
      </c>
      <c r="E152" s="262" t="s">
        <v>630</v>
      </c>
      <c r="F152" s="625" t="s">
        <v>631</v>
      </c>
      <c r="G152" s="625"/>
      <c r="H152" s="625"/>
      <c r="I152" s="625"/>
      <c r="J152" s="174" t="s">
        <v>65</v>
      </c>
      <c r="K152" s="264">
        <f>SUM(K153:K153)</f>
        <v>42.53</v>
      </c>
      <c r="L152" s="626"/>
      <c r="M152" s="626"/>
      <c r="N152" s="619">
        <f>ROUND(L152*K152,2)</f>
        <v>0</v>
      </c>
      <c r="O152" s="619"/>
      <c r="P152" s="619"/>
      <c r="Q152" s="619"/>
      <c r="R152" s="6"/>
      <c r="T152" s="142"/>
      <c r="V152" s="177">
        <f>0.05</f>
        <v>0.05</v>
      </c>
      <c r="X152" s="177">
        <f>V152*K152</f>
        <v>2.1265</v>
      </c>
    </row>
    <row r="153" spans="2:29" s="177" customFormat="1" ht="13.5" outlineLevel="1">
      <c r="B153" s="175"/>
      <c r="E153" s="319" t="s">
        <v>632</v>
      </c>
      <c r="F153" s="627" t="s">
        <v>807</v>
      </c>
      <c r="G153" s="628">
        <f>4.54+25.32+12.67</f>
        <v>42.53</v>
      </c>
      <c r="H153" s="628">
        <f>4.54+25.32+12.67</f>
        <v>42.53</v>
      </c>
      <c r="I153" s="628">
        <f>4.54+25.32+12.67</f>
        <v>42.53</v>
      </c>
      <c r="J153" s="176"/>
      <c r="K153" s="266">
        <f>4.54+25.32+12.67</f>
        <v>42.53</v>
      </c>
      <c r="L153" s="419"/>
      <c r="M153" s="419"/>
      <c r="R153" s="178"/>
      <c r="T153" s="142"/>
      <c r="AC153" s="386"/>
    </row>
    <row r="154" spans="2:27" ht="13.5" outlineLevel="1">
      <c r="B154" s="5"/>
      <c r="C154" s="261"/>
      <c r="D154" s="261" t="s">
        <v>64</v>
      </c>
      <c r="E154" s="262" t="s">
        <v>376</v>
      </c>
      <c r="F154" s="625" t="s">
        <v>377</v>
      </c>
      <c r="G154" s="625"/>
      <c r="H154" s="625"/>
      <c r="I154" s="625"/>
      <c r="J154" s="174" t="s">
        <v>66</v>
      </c>
      <c r="K154" s="264">
        <f>SUM(K155:K156)</f>
        <v>69.64160000000001</v>
      </c>
      <c r="L154" s="626"/>
      <c r="M154" s="626"/>
      <c r="N154" s="619">
        <f>ROUND(L154*K154,2)</f>
        <v>0</v>
      </c>
      <c r="O154" s="619"/>
      <c r="P154" s="619"/>
      <c r="Q154" s="619"/>
      <c r="R154" s="6"/>
      <c r="T154" s="142"/>
      <c r="AA154" s="321">
        <f>K154</f>
        <v>69.64160000000001</v>
      </c>
    </row>
    <row r="155" spans="2:29" s="177" customFormat="1" ht="13.5" outlineLevel="1">
      <c r="B155" s="175"/>
      <c r="E155" s="319" t="s">
        <v>612</v>
      </c>
      <c r="F155" s="627" t="s">
        <v>808</v>
      </c>
      <c r="G155" s="628" t="e">
        <f>(22.76+27.72+40.52)*(F155-F148)+(20+15.1+30.61+4.95+2.28)*(F155-F149)</f>
        <v>#VALUE!</v>
      </c>
      <c r="H155" s="628" t="e">
        <f>(22.76+27.72+40.52)*(G155-G148)+(20+15.1+30.61+4.95+2.28)*(G155-G149)</f>
        <v>#VALUE!</v>
      </c>
      <c r="I155" s="628" t="e">
        <f>(22.76+27.72+40.52)*(H155-H148)+(20+15.1+30.61+4.95+2.28)*(H155-H149)</f>
        <v>#VALUE!</v>
      </c>
      <c r="J155" s="176">
        <v>0.65</v>
      </c>
      <c r="K155" s="266">
        <f>(22.76+27.72+40.52)*(J155-J148)+(20+15.1+30.61+4.95+2.28)*(J155-J149)</f>
        <v>65.8469</v>
      </c>
      <c r="L155" s="419"/>
      <c r="M155" s="419"/>
      <c r="R155" s="178"/>
      <c r="T155" s="142"/>
      <c r="AC155" s="386"/>
    </row>
    <row r="156" spans="2:29" s="177" customFormat="1" ht="13.5" outlineLevel="1">
      <c r="B156" s="175"/>
      <c r="E156" s="319" t="s">
        <v>613</v>
      </c>
      <c r="F156" s="627" t="s">
        <v>809</v>
      </c>
      <c r="G156" s="628" t="e">
        <f>(6.86+11.21)*F156</f>
        <v>#VALUE!</v>
      </c>
      <c r="H156" s="628" t="e">
        <f>(6.86+11.21)*G156</f>
        <v>#VALUE!</v>
      </c>
      <c r="I156" s="628" t="e">
        <f>(6.86+11.21)*H156</f>
        <v>#VALUE!</v>
      </c>
      <c r="J156" s="176">
        <v>0.21</v>
      </c>
      <c r="K156" s="266">
        <f>(6.86+11.21)*J156</f>
        <v>3.7946999999999997</v>
      </c>
      <c r="L156" s="419"/>
      <c r="M156" s="419"/>
      <c r="R156" s="178"/>
      <c r="T156" s="142"/>
      <c r="AC156" s="386"/>
    </row>
    <row r="157" spans="2:27" ht="13.5" outlineLevel="1">
      <c r="B157" s="5"/>
      <c r="C157" s="261"/>
      <c r="D157" s="261" t="s">
        <v>64</v>
      </c>
      <c r="E157" s="262" t="s">
        <v>658</v>
      </c>
      <c r="F157" s="625" t="s">
        <v>659</v>
      </c>
      <c r="G157" s="625"/>
      <c r="H157" s="625"/>
      <c r="I157" s="625"/>
      <c r="J157" s="174" t="s">
        <v>66</v>
      </c>
      <c r="K157" s="264">
        <f>SUM(K158:K158)</f>
        <v>3.1675</v>
      </c>
      <c r="L157" s="626"/>
      <c r="M157" s="626"/>
      <c r="N157" s="619">
        <f>ROUND(L157*K157,2)</f>
        <v>0</v>
      </c>
      <c r="O157" s="619"/>
      <c r="P157" s="619"/>
      <c r="Q157" s="619"/>
      <c r="R157" s="6"/>
      <c r="T157" s="142"/>
      <c r="AA157" s="321">
        <f>K157</f>
        <v>3.1675</v>
      </c>
    </row>
    <row r="158" spans="2:29" s="177" customFormat="1" ht="13.5" outlineLevel="1">
      <c r="B158" s="175"/>
      <c r="E158" s="319" t="s">
        <v>660</v>
      </c>
      <c r="F158" s="627" t="s">
        <v>810</v>
      </c>
      <c r="G158" s="628" t="e">
        <f>(12.67)*F158</f>
        <v>#VALUE!</v>
      </c>
      <c r="H158" s="628" t="e">
        <f>(12.67)*G158</f>
        <v>#VALUE!</v>
      </c>
      <c r="I158" s="628" t="e">
        <f>(12.67)*H158</f>
        <v>#VALUE!</v>
      </c>
      <c r="J158" s="176">
        <v>0.25</v>
      </c>
      <c r="K158" s="266">
        <f>(12.67)*J158</f>
        <v>3.1675</v>
      </c>
      <c r="L158" s="419"/>
      <c r="M158" s="419"/>
      <c r="R158" s="178"/>
      <c r="T158" s="142"/>
      <c r="AC158" s="386"/>
    </row>
    <row r="159" spans="2:26" ht="13.5" outlineLevel="1">
      <c r="B159" s="5"/>
      <c r="C159" s="261"/>
      <c r="D159" s="261" t="s">
        <v>64</v>
      </c>
      <c r="E159" s="262">
        <v>968062245</v>
      </c>
      <c r="F159" s="625" t="s">
        <v>367</v>
      </c>
      <c r="G159" s="625"/>
      <c r="H159" s="625"/>
      <c r="I159" s="625"/>
      <c r="J159" s="174" t="s">
        <v>65</v>
      </c>
      <c r="K159" s="264">
        <f>SUM(K160:K161)</f>
        <v>23.0106</v>
      </c>
      <c r="L159" s="626"/>
      <c r="M159" s="626"/>
      <c r="N159" s="619">
        <f>ROUND(L159*K159,2)</f>
        <v>0</v>
      </c>
      <c r="O159" s="619"/>
      <c r="P159" s="619"/>
      <c r="Q159" s="619"/>
      <c r="R159" s="6"/>
      <c r="T159" s="142"/>
      <c r="V159" s="177">
        <v>0.08</v>
      </c>
      <c r="Z159" s="177">
        <f>V159*K159</f>
        <v>1.840848</v>
      </c>
    </row>
    <row r="160" spans="2:29" s="177" customFormat="1" ht="13.5" outlineLevel="1">
      <c r="B160" s="175"/>
      <c r="E160" s="319" t="s">
        <v>364</v>
      </c>
      <c r="F160" s="627" t="s">
        <v>811</v>
      </c>
      <c r="G160" s="628">
        <f>1.1*1.6</f>
        <v>1.7600000000000002</v>
      </c>
      <c r="H160" s="628">
        <f>1.1*1.6</f>
        <v>1.7600000000000002</v>
      </c>
      <c r="I160" s="628">
        <f>1.1*1.6</f>
        <v>1.7600000000000002</v>
      </c>
      <c r="J160" s="176"/>
      <c r="K160" s="266">
        <f>1.1*1.6</f>
        <v>1.7600000000000002</v>
      </c>
      <c r="L160" s="419"/>
      <c r="M160" s="419"/>
      <c r="R160" s="178"/>
      <c r="T160" s="142"/>
      <c r="AC160" s="386"/>
    </row>
    <row r="161" spans="2:29" s="177" customFormat="1" ht="13.5" outlineLevel="1">
      <c r="B161" s="175"/>
      <c r="E161" s="319" t="s">
        <v>365</v>
      </c>
      <c r="F161" s="627" t="s">
        <v>812</v>
      </c>
      <c r="G161" s="628">
        <f>1.15*1.111*12+1.11*1.415*2+1.111*1.25*2</f>
        <v>21.2506</v>
      </c>
      <c r="H161" s="628">
        <f>1.15*1.111*12+1.11*1.415*2+1.111*1.25*2</f>
        <v>21.2506</v>
      </c>
      <c r="I161" s="628">
        <f>1.15*1.111*12+1.11*1.415*2+1.111*1.25*2</f>
        <v>21.2506</v>
      </c>
      <c r="J161" s="176"/>
      <c r="K161" s="266">
        <f>1.15*1.111*12+1.11*1.415*2+1.111*1.25*2</f>
        <v>21.2506</v>
      </c>
      <c r="L161" s="419"/>
      <c r="M161" s="419"/>
      <c r="R161" s="178"/>
      <c r="T161" s="142"/>
      <c r="AC161" s="386"/>
    </row>
    <row r="162" spans="2:26" ht="13.5" outlineLevel="1">
      <c r="B162" s="5"/>
      <c r="C162" s="261"/>
      <c r="D162" s="261" t="s">
        <v>64</v>
      </c>
      <c r="E162" s="262">
        <v>968062246</v>
      </c>
      <c r="F162" s="625" t="s">
        <v>382</v>
      </c>
      <c r="G162" s="625"/>
      <c r="H162" s="625"/>
      <c r="I162" s="625"/>
      <c r="J162" s="174" t="s">
        <v>65</v>
      </c>
      <c r="K162" s="264">
        <f>SUM(K163:K164)</f>
        <v>27.4756</v>
      </c>
      <c r="L162" s="626"/>
      <c r="M162" s="626"/>
      <c r="N162" s="619">
        <f>ROUND(L162*K162,2)</f>
        <v>0</v>
      </c>
      <c r="O162" s="619"/>
      <c r="P162" s="619"/>
      <c r="Q162" s="619"/>
      <c r="R162" s="6"/>
      <c r="T162" s="142"/>
      <c r="V162" s="177">
        <v>0.08</v>
      </c>
      <c r="Z162" s="177">
        <f>V162*K162</f>
        <v>2.198048</v>
      </c>
    </row>
    <row r="163" spans="2:29" s="177" customFormat="1" ht="13.5" outlineLevel="1">
      <c r="B163" s="175"/>
      <c r="E163" s="319" t="s">
        <v>364</v>
      </c>
      <c r="F163" s="627" t="s">
        <v>813</v>
      </c>
      <c r="G163" s="628">
        <f>1.1*2.4+1.7*1.65*2+1.6*2+1.6*2.2*2</f>
        <v>18.490000000000002</v>
      </c>
      <c r="H163" s="628">
        <f>1.1*2.4+1.7*1.65*2+1.6*2+1.6*2.2*2</f>
        <v>18.490000000000002</v>
      </c>
      <c r="I163" s="628">
        <f>1.1*2.4+1.7*1.65*2+1.6*2+1.6*2.2*2</f>
        <v>18.490000000000002</v>
      </c>
      <c r="J163" s="176"/>
      <c r="K163" s="266">
        <f>1.1*2.4+1.7*1.65*2+1.6*2+1.6*2.2*2</f>
        <v>18.490000000000002</v>
      </c>
      <c r="L163" s="419"/>
      <c r="M163" s="419"/>
      <c r="R163" s="178"/>
      <c r="T163" s="142"/>
      <c r="AC163" s="386"/>
    </row>
    <row r="164" spans="2:29" s="177" customFormat="1" ht="13.5" outlineLevel="1">
      <c r="B164" s="175"/>
      <c r="E164" s="319" t="s">
        <v>365</v>
      </c>
      <c r="F164" s="627" t="s">
        <v>814</v>
      </c>
      <c r="G164" s="628">
        <f>0.96*2.28*2+0.96*2.4*2</f>
        <v>8.985599999999998</v>
      </c>
      <c r="H164" s="628">
        <f>0.96*2.28*2+0.96*2.4*2</f>
        <v>8.985599999999998</v>
      </c>
      <c r="I164" s="628">
        <f>0.96*2.28*2+0.96*2.4*2</f>
        <v>8.985599999999998</v>
      </c>
      <c r="J164" s="176"/>
      <c r="K164" s="266">
        <f>0.96*2.28*2+0.96*2.4*2</f>
        <v>8.985599999999998</v>
      </c>
      <c r="L164" s="419"/>
      <c r="M164" s="419"/>
      <c r="R164" s="178"/>
      <c r="T164" s="142"/>
      <c r="AC164" s="386"/>
    </row>
    <row r="165" spans="2:26" ht="13.5" outlineLevel="1">
      <c r="B165" s="5"/>
      <c r="C165" s="261"/>
      <c r="D165" s="261" t="s">
        <v>64</v>
      </c>
      <c r="E165" s="262">
        <v>968062247</v>
      </c>
      <c r="F165" s="625" t="s">
        <v>636</v>
      </c>
      <c r="G165" s="625"/>
      <c r="H165" s="625"/>
      <c r="I165" s="625"/>
      <c r="J165" s="174" t="s">
        <v>65</v>
      </c>
      <c r="K165" s="264">
        <f>SUM(K166:K166)</f>
        <v>19.4576</v>
      </c>
      <c r="L165" s="626"/>
      <c r="M165" s="626"/>
      <c r="N165" s="619">
        <f>ROUND(L165*K165,2)</f>
        <v>0</v>
      </c>
      <c r="O165" s="619"/>
      <c r="P165" s="619"/>
      <c r="Q165" s="619"/>
      <c r="R165" s="6"/>
      <c r="T165" s="142"/>
      <c r="V165" s="177">
        <v>0.08</v>
      </c>
      <c r="Z165" s="177">
        <f>V165*K165</f>
        <v>1.556608</v>
      </c>
    </row>
    <row r="166" spans="2:29" s="177" customFormat="1" ht="13.5" outlineLevel="1">
      <c r="B166" s="175"/>
      <c r="E166" s="319" t="s">
        <v>363</v>
      </c>
      <c r="F166" s="627" t="s">
        <v>815</v>
      </c>
      <c r="G166" s="628">
        <f aca="true" t="shared" si="2" ref="G166:I168">2.58*1.92+2.96*2.45*2</f>
        <v>19.4576</v>
      </c>
      <c r="H166" s="628">
        <f t="shared" si="2"/>
        <v>19.4576</v>
      </c>
      <c r="I166" s="628">
        <f t="shared" si="2"/>
        <v>19.4576</v>
      </c>
      <c r="J166" s="176"/>
      <c r="K166" s="266">
        <f>2.58*1.92+2.96*2.45*2</f>
        <v>19.4576</v>
      </c>
      <c r="L166" s="419"/>
      <c r="M166" s="419"/>
      <c r="R166" s="178"/>
      <c r="T166" s="142"/>
      <c r="AC166" s="386"/>
    </row>
    <row r="167" spans="2:26" ht="13.5" outlineLevel="1">
      <c r="B167" s="5"/>
      <c r="C167" s="261"/>
      <c r="D167" s="261" t="s">
        <v>64</v>
      </c>
      <c r="E167" s="262">
        <v>974031164</v>
      </c>
      <c r="F167" s="625" t="s">
        <v>698</v>
      </c>
      <c r="G167" s="625"/>
      <c r="H167" s="625"/>
      <c r="I167" s="625"/>
      <c r="J167" s="174" t="s">
        <v>70</v>
      </c>
      <c r="K167" s="264">
        <f>SUM(K168:K168)</f>
        <v>18</v>
      </c>
      <c r="L167" s="626"/>
      <c r="M167" s="626"/>
      <c r="N167" s="619">
        <f>ROUND(L167*K167,2)</f>
        <v>0</v>
      </c>
      <c r="O167" s="619"/>
      <c r="P167" s="619"/>
      <c r="Q167" s="619"/>
      <c r="R167" s="6"/>
      <c r="T167" s="142"/>
      <c r="V167" s="177">
        <v>0.08</v>
      </c>
      <c r="Z167" s="177">
        <f>V167*K167</f>
        <v>1.44</v>
      </c>
    </row>
    <row r="168" spans="2:29" s="177" customFormat="1" ht="22.5" outlineLevel="1">
      <c r="B168" s="175"/>
      <c r="E168" s="319" t="s">
        <v>961</v>
      </c>
      <c r="F168" s="627" t="s">
        <v>962</v>
      </c>
      <c r="G168" s="628">
        <f t="shared" si="2"/>
        <v>19.4576</v>
      </c>
      <c r="H168" s="628">
        <f t="shared" si="2"/>
        <v>19.4576</v>
      </c>
      <c r="I168" s="628">
        <f t="shared" si="2"/>
        <v>19.4576</v>
      </c>
      <c r="J168" s="176"/>
      <c r="K168" s="266">
        <f>18</f>
        <v>18</v>
      </c>
      <c r="L168" s="419"/>
      <c r="M168" s="419"/>
      <c r="R168" s="178"/>
      <c r="T168" s="142"/>
      <c r="AC168" s="386"/>
    </row>
    <row r="169" spans="2:26" ht="13.5" outlineLevel="1">
      <c r="B169" s="5"/>
      <c r="C169" s="261"/>
      <c r="D169" s="261" t="s">
        <v>64</v>
      </c>
      <c r="E169" s="262" t="s">
        <v>405</v>
      </c>
      <c r="F169" s="625" t="s">
        <v>406</v>
      </c>
      <c r="G169" s="625"/>
      <c r="H169" s="625"/>
      <c r="I169" s="625"/>
      <c r="J169" s="174" t="s">
        <v>70</v>
      </c>
      <c r="K169" s="264">
        <f>SUM(K170:K171)</f>
        <v>81.66</v>
      </c>
      <c r="L169" s="626"/>
      <c r="M169" s="626"/>
      <c r="N169" s="619">
        <f>ROUND(L169*K169,2)</f>
        <v>0</v>
      </c>
      <c r="O169" s="619"/>
      <c r="P169" s="619"/>
      <c r="Q169" s="619"/>
      <c r="R169" s="6"/>
      <c r="T169" s="142"/>
      <c r="V169" s="177">
        <f>0.15*0.25</f>
        <v>0.0375</v>
      </c>
      <c r="Z169" s="177">
        <f>V169*K169</f>
        <v>3.0622499999999997</v>
      </c>
    </row>
    <row r="170" spans="2:29" s="177" customFormat="1" ht="13.5" outlineLevel="1">
      <c r="B170" s="175"/>
      <c r="E170" s="319" t="s">
        <v>84</v>
      </c>
      <c r="F170" s="627" t="s">
        <v>2042</v>
      </c>
      <c r="G170" s="628">
        <f>2*2.15+2.8*6+3.5*4+2.28*2+2.75*3+2.65*3+3.3*3</f>
        <v>65.75999999999999</v>
      </c>
      <c r="H170" s="628">
        <f>2*2.15+2.8*6+3.5*4+2.28*2+2.75*3+2.65*3+3.3*3</f>
        <v>65.75999999999999</v>
      </c>
      <c r="I170" s="628">
        <f>2*2.15+2.8*6+3.5*4+2.28*2+2.75*3+2.65*3+3.3*3</f>
        <v>65.75999999999999</v>
      </c>
      <c r="J170" s="176">
        <v>1</v>
      </c>
      <c r="K170" s="266">
        <f>2*2.15+2.8*6+3.5*4+2.28*2+2.1*2+1.9*3+2.5+3</f>
        <v>55.06</v>
      </c>
      <c r="L170" s="419"/>
      <c r="M170" s="419"/>
      <c r="R170" s="178"/>
      <c r="T170" s="142"/>
      <c r="AC170" s="386"/>
    </row>
    <row r="171" spans="2:29" s="177" customFormat="1" ht="13.5" outlineLevel="1">
      <c r="B171" s="175"/>
      <c r="E171" s="319" t="s">
        <v>85</v>
      </c>
      <c r="F171" s="627" t="s">
        <v>816</v>
      </c>
      <c r="G171" s="628">
        <f>1.85*2+1.85*2+1.3*2+3.5*4+1.3*2</f>
        <v>26.6</v>
      </c>
      <c r="H171" s="628">
        <f>1.85*2+1.85*2+1.3*2+3.5*4+1.3*2</f>
        <v>26.6</v>
      </c>
      <c r="I171" s="628">
        <f>1.85*2+1.85*2+1.3*2+3.5*4+1.3*2</f>
        <v>26.6</v>
      </c>
      <c r="J171" s="176">
        <v>1</v>
      </c>
      <c r="K171" s="266">
        <f>1.85*2+1.85*2+1.3*2+3.5*4+1.3*2</f>
        <v>26.6</v>
      </c>
      <c r="L171" s="419"/>
      <c r="M171" s="419"/>
      <c r="R171" s="178"/>
      <c r="T171" s="142"/>
      <c r="AC171" s="386"/>
    </row>
    <row r="172" spans="2:26" ht="27" customHeight="1" outlineLevel="1">
      <c r="B172" s="5"/>
      <c r="C172" s="261"/>
      <c r="D172" s="261" t="s">
        <v>64</v>
      </c>
      <c r="E172" s="262" t="s">
        <v>638</v>
      </c>
      <c r="F172" s="625" t="s">
        <v>639</v>
      </c>
      <c r="G172" s="625"/>
      <c r="H172" s="625"/>
      <c r="I172" s="625"/>
      <c r="J172" s="174" t="s">
        <v>70</v>
      </c>
      <c r="K172" s="264">
        <f>SUM(K173:K173)</f>
        <v>21.9</v>
      </c>
      <c r="L172" s="626"/>
      <c r="M172" s="626"/>
      <c r="N172" s="619">
        <f>ROUND(L172*K172,2)</f>
        <v>0</v>
      </c>
      <c r="O172" s="619"/>
      <c r="P172" s="619"/>
      <c r="Q172" s="619"/>
      <c r="R172" s="6"/>
      <c r="T172" s="142"/>
      <c r="V172" s="177">
        <v>1</v>
      </c>
      <c r="Z172" s="177">
        <f>V172*K172</f>
        <v>21.9</v>
      </c>
    </row>
    <row r="173" spans="2:29" s="177" customFormat="1" ht="13.5" outlineLevel="1">
      <c r="B173" s="175"/>
      <c r="E173" s="319" t="s">
        <v>84</v>
      </c>
      <c r="F173" s="627" t="s">
        <v>876</v>
      </c>
      <c r="G173" s="628" t="e">
        <f aca="true" t="shared" si="3" ref="G173:I174">2*F173</f>
        <v>#VALUE!</v>
      </c>
      <c r="H173" s="628" t="e">
        <f t="shared" si="3"/>
        <v>#VALUE!</v>
      </c>
      <c r="I173" s="628" t="e">
        <f t="shared" si="3"/>
        <v>#VALUE!</v>
      </c>
      <c r="J173" s="176">
        <v>3.65</v>
      </c>
      <c r="K173" s="266">
        <f>2*3*J173</f>
        <v>21.9</v>
      </c>
      <c r="L173" s="419"/>
      <c r="M173" s="419"/>
      <c r="R173" s="178"/>
      <c r="T173" s="142"/>
      <c r="AC173" s="386"/>
    </row>
    <row r="174" spans="2:29" s="177" customFormat="1" ht="13.5" outlineLevel="1">
      <c r="B174" s="175"/>
      <c r="E174" s="319" t="s">
        <v>85</v>
      </c>
      <c r="F174" s="627" t="s">
        <v>817</v>
      </c>
      <c r="G174" s="628" t="e">
        <f t="shared" si="3"/>
        <v>#VALUE!</v>
      </c>
      <c r="H174" s="628" t="e">
        <f t="shared" si="3"/>
        <v>#VALUE!</v>
      </c>
      <c r="I174" s="628" t="e">
        <f t="shared" si="3"/>
        <v>#VALUE!</v>
      </c>
      <c r="J174" s="176">
        <v>3.38</v>
      </c>
      <c r="K174" s="266">
        <f>2*J174</f>
        <v>6.76</v>
      </c>
      <c r="L174" s="419"/>
      <c r="M174" s="419"/>
      <c r="R174" s="178"/>
      <c r="T174" s="142"/>
      <c r="AC174" s="386"/>
    </row>
    <row r="175" spans="2:27" ht="27" customHeight="1" outlineLevel="1">
      <c r="B175" s="5"/>
      <c r="C175" s="261"/>
      <c r="D175" s="261" t="s">
        <v>64</v>
      </c>
      <c r="E175" s="262">
        <v>978011161</v>
      </c>
      <c r="F175" s="625" t="s">
        <v>640</v>
      </c>
      <c r="G175" s="625"/>
      <c r="H175" s="625"/>
      <c r="I175" s="625"/>
      <c r="J175" s="174" t="s">
        <v>65</v>
      </c>
      <c r="K175" s="264">
        <f>SUM(K176:K178)</f>
        <v>544.9899999999999</v>
      </c>
      <c r="L175" s="626"/>
      <c r="M175" s="626"/>
      <c r="N175" s="619">
        <f>ROUND(L175*K175,2)</f>
        <v>0</v>
      </c>
      <c r="O175" s="619"/>
      <c r="P175" s="619"/>
      <c r="Q175" s="619"/>
      <c r="R175" s="6"/>
      <c r="T175" s="142"/>
      <c r="V175" s="177">
        <v>0.025</v>
      </c>
      <c r="AA175" s="177">
        <f>V175*K175</f>
        <v>13.624749999999999</v>
      </c>
    </row>
    <row r="176" spans="2:29" s="177" customFormat="1" ht="13.5" outlineLevel="1">
      <c r="B176" s="175"/>
      <c r="E176" s="319" t="s">
        <v>641</v>
      </c>
      <c r="F176" s="627" t="s">
        <v>818</v>
      </c>
      <c r="G176" s="628">
        <f>80.02-14.25+102.21+30.61+62.21-6.91</f>
        <v>253.88999999999996</v>
      </c>
      <c r="H176" s="628">
        <f>80.02-14.25+102.21+30.61+62.21-6.91</f>
        <v>253.88999999999996</v>
      </c>
      <c r="I176" s="628">
        <f>80.02-14.25+102.21+30.61+62.21-6.91</f>
        <v>253.88999999999996</v>
      </c>
      <c r="J176" s="176"/>
      <c r="K176" s="266">
        <f>80.02-14.25+102.21+30.61+62.21-6.91</f>
        <v>253.88999999999996</v>
      </c>
      <c r="L176" s="419"/>
      <c r="M176" s="419"/>
      <c r="R176" s="178"/>
      <c r="T176" s="142"/>
      <c r="AC176" s="386"/>
    </row>
    <row r="177" spans="2:29" s="177" customFormat="1" ht="13.5" outlineLevel="1">
      <c r="B177" s="175"/>
      <c r="E177" s="319" t="s">
        <v>642</v>
      </c>
      <c r="F177" s="627" t="s">
        <v>819</v>
      </c>
      <c r="G177" s="628">
        <f>43.92+156.64+80.64</f>
        <v>281.2</v>
      </c>
      <c r="H177" s="628">
        <f>43.92+156.64+80.64</f>
        <v>281.2</v>
      </c>
      <c r="I177" s="628">
        <f>43.92+156.64+80.64</f>
        <v>281.2</v>
      </c>
      <c r="J177" s="176"/>
      <c r="K177" s="266">
        <f>43.92+156.64+80.64</f>
        <v>281.2</v>
      </c>
      <c r="L177" s="419"/>
      <c r="M177" s="419"/>
      <c r="R177" s="178"/>
      <c r="T177" s="142"/>
      <c r="AC177" s="386"/>
    </row>
    <row r="178" spans="2:29" s="177" customFormat="1" ht="13.5" outlineLevel="1">
      <c r="B178" s="175"/>
      <c r="E178" s="319" t="s">
        <v>643</v>
      </c>
      <c r="F178" s="627" t="s">
        <v>820</v>
      </c>
      <c r="G178" s="628">
        <f>9.9</f>
        <v>9.9</v>
      </c>
      <c r="H178" s="628">
        <f>9.9</f>
        <v>9.9</v>
      </c>
      <c r="I178" s="628">
        <f>9.9</f>
        <v>9.9</v>
      </c>
      <c r="J178" s="176"/>
      <c r="K178" s="266">
        <f>9.9</f>
        <v>9.9</v>
      </c>
      <c r="L178" s="419"/>
      <c r="M178" s="419"/>
      <c r="R178" s="178"/>
      <c r="T178" s="142"/>
      <c r="AC178" s="386"/>
    </row>
    <row r="179" spans="2:27" ht="27" customHeight="1" outlineLevel="1">
      <c r="B179" s="5"/>
      <c r="C179" s="261"/>
      <c r="D179" s="261" t="s">
        <v>64</v>
      </c>
      <c r="E179" s="262">
        <v>978013161</v>
      </c>
      <c r="F179" s="625" t="s">
        <v>644</v>
      </c>
      <c r="G179" s="625"/>
      <c r="H179" s="625"/>
      <c r="I179" s="625"/>
      <c r="J179" s="174" t="s">
        <v>65</v>
      </c>
      <c r="K179" s="264">
        <f>SUM(K180:K182)</f>
        <v>1381.7740000000001</v>
      </c>
      <c r="L179" s="626"/>
      <c r="M179" s="626"/>
      <c r="N179" s="619">
        <f>ROUND(L179*K179,2)</f>
        <v>0</v>
      </c>
      <c r="O179" s="619"/>
      <c r="P179" s="619"/>
      <c r="Q179" s="619"/>
      <c r="R179" s="6"/>
      <c r="T179" s="142"/>
      <c r="V179" s="177">
        <f>2.3*0.015</f>
        <v>0.034499999999999996</v>
      </c>
      <c r="AA179" s="177">
        <f>V179*K179</f>
        <v>47.671203</v>
      </c>
    </row>
    <row r="180" spans="2:29" s="177" customFormat="1" ht="30" customHeight="1" outlineLevel="1">
      <c r="B180" s="175"/>
      <c r="E180" s="319" t="s">
        <v>645</v>
      </c>
      <c r="F180" s="627" t="s">
        <v>821</v>
      </c>
      <c r="G180" s="628">
        <f>(6.66+3.62)*2*3.8+(4.57+6.66)*2*3.8+(4.9+3.7+1.3)*2*3.77+(5.9+3.7+4.7+5.9+6.1+6.6+6.3+3.2+5.6+5.4+4+2.5)*2*3</f>
        <v>597.522</v>
      </c>
      <c r="H180" s="628">
        <f>(6.66+3.62)*2*3.8+(4.57+6.66)*2*3.8+(4.9+3.7+1.3)*2*3.77+(5.9+3.7+4.7+5.9+6.1+6.6+6.3+3.2+5.6+5.4+4+2.5)*2*3</f>
        <v>597.522</v>
      </c>
      <c r="I180" s="628">
        <f>(6.66+3.62)*2*3.8+(4.57+6.66)*2*3.8+(4.9+3.7+1.3)*2*3.77+(5.9+3.7+4.7+5.9+6.1+6.6+6.3+3.2+5.6+5.4+4+2.5)*2*3</f>
        <v>597.522</v>
      </c>
      <c r="J180" s="176"/>
      <c r="K180" s="266">
        <f>(6.66+3.62)*2*3.8+(4.57+6.66)*2*3.8+(4.9+3.7+1.3)*2*3.77+(5.9+3.7+4.7+5.9+6.1+6.6+6.3+3.2+5.6+5.4+4+2.5)*2*3</f>
        <v>597.522</v>
      </c>
      <c r="L180" s="419"/>
      <c r="M180" s="419"/>
      <c r="R180" s="178"/>
      <c r="T180" s="142"/>
      <c r="AC180" s="386"/>
    </row>
    <row r="181" spans="2:29" s="177" customFormat="1" ht="37.5" customHeight="1" outlineLevel="1">
      <c r="B181" s="175"/>
      <c r="E181" s="319" t="s">
        <v>646</v>
      </c>
      <c r="F181" s="627" t="s">
        <v>822</v>
      </c>
      <c r="G181" s="628">
        <f>(5.1+5.6+2.95+5.8+5.8+3.8+11.3+1.1)*2*2.76+(4.5+5.1+5+5.2+6.9+6.3+6+3.5+5.9+5.7+3.6+4.1+7.8+1.1)*2*3.38+(3.1+4.2)*2*3.26</f>
        <v>754.332</v>
      </c>
      <c r="H181" s="628">
        <f>(5.1+5.6+2.95+5.8+5.8+3.8+11.3+1.1)*2*2.76+(4.5+5.1+5+5.2+6.9+6.3+6+3.5+5.9+5.7+3.6+4.1+7.8+1.1)*2*3.38+(3.1+4.2)*2*3.26</f>
        <v>754.332</v>
      </c>
      <c r="I181" s="628">
        <f>(5.1+5.6+2.95+5.8+5.8+3.8+11.3+1.1)*2*2.76+(4.5+5.1+5+5.2+6.9+6.3+6+3.5+5.9+5.7+3.6+4.1+7.8+1.1)*2*3.38+(3.1+4.2)*2*3.26</f>
        <v>754.332</v>
      </c>
      <c r="J181" s="176"/>
      <c r="K181" s="266">
        <f>(5.1+5.6+2.95+5.8+5.8+3.8+11.3+1.1)*2*2.76+(4.5+5.1+5+5.2+6.9+6.3+6+3.5+5.9+5.7+3.6+4.1+7.8+1.1)*2*3.38+(3.1+4.2)*2*3.26</f>
        <v>754.332</v>
      </c>
      <c r="L181" s="419"/>
      <c r="M181" s="419"/>
      <c r="R181" s="178"/>
      <c r="T181" s="142"/>
      <c r="AC181" s="386"/>
    </row>
    <row r="182" spans="2:29" s="177" customFormat="1" ht="13.5" outlineLevel="1">
      <c r="B182" s="175"/>
      <c r="E182" s="319" t="s">
        <v>647</v>
      </c>
      <c r="F182" s="627" t="s">
        <v>823</v>
      </c>
      <c r="G182" s="628">
        <f>(4.2+2.6)*2*2.2</f>
        <v>29.920000000000005</v>
      </c>
      <c r="H182" s="628">
        <f>(4.2+2.6)*2*2.2</f>
        <v>29.920000000000005</v>
      </c>
      <c r="I182" s="628">
        <f>(4.2+2.6)*2*2.2</f>
        <v>29.920000000000005</v>
      </c>
      <c r="J182" s="176"/>
      <c r="K182" s="266">
        <f>(4.2+2.6)*2*2.2</f>
        <v>29.920000000000005</v>
      </c>
      <c r="L182" s="419"/>
      <c r="M182" s="419"/>
      <c r="R182" s="178"/>
      <c r="T182" s="142"/>
      <c r="AC182" s="386"/>
    </row>
    <row r="183" spans="2:27" ht="13.5" outlineLevel="1">
      <c r="B183" s="5"/>
      <c r="C183" s="261"/>
      <c r="D183" s="261" t="s">
        <v>64</v>
      </c>
      <c r="E183" s="262">
        <v>978059541</v>
      </c>
      <c r="F183" s="625" t="s">
        <v>360</v>
      </c>
      <c r="G183" s="625"/>
      <c r="H183" s="625"/>
      <c r="I183" s="625"/>
      <c r="J183" s="174" t="s">
        <v>65</v>
      </c>
      <c r="K183" s="264">
        <f>SUM(K184:K184)</f>
        <v>25.400000000000002</v>
      </c>
      <c r="L183" s="626"/>
      <c r="M183" s="626"/>
      <c r="N183" s="619">
        <f>ROUND(L183*K183,2)</f>
        <v>0</v>
      </c>
      <c r="O183" s="619"/>
      <c r="P183" s="619"/>
      <c r="Q183" s="619"/>
      <c r="R183" s="6"/>
      <c r="T183" s="142"/>
      <c r="V183" s="177">
        <f>0.01</f>
        <v>0.01</v>
      </c>
      <c r="AA183" s="177">
        <f>V183*K183</f>
        <v>0.254</v>
      </c>
    </row>
    <row r="184" spans="2:29" s="177" customFormat="1" ht="13.5" outlineLevel="1">
      <c r="B184" s="175"/>
      <c r="E184" s="319" t="s">
        <v>359</v>
      </c>
      <c r="F184" s="627" t="s">
        <v>824</v>
      </c>
      <c r="G184" s="628">
        <f>(2.1+1.4+1.1+1.1+1.5+1.3+1.4+1.3+1.5)*2</f>
        <v>25.400000000000002</v>
      </c>
      <c r="H184" s="628">
        <f>(2.1+1.4+1.1+1.1+1.5+1.3+1.4+1.3+1.5)*2</f>
        <v>25.400000000000002</v>
      </c>
      <c r="I184" s="628">
        <f>(2.1+1.4+1.1+1.1+1.5+1.3+1.4+1.3+1.5)*2</f>
        <v>25.400000000000002</v>
      </c>
      <c r="J184" s="176"/>
      <c r="K184" s="266">
        <f>(2.1+1.4+1.1+1.1+1.5+1.3+1.4+1.3+1.5)*2</f>
        <v>25.400000000000002</v>
      </c>
      <c r="L184" s="419"/>
      <c r="M184" s="419"/>
      <c r="R184" s="178"/>
      <c r="T184" s="142"/>
      <c r="AC184" s="386"/>
    </row>
    <row r="185" spans="2:27" ht="13.5" outlineLevel="1">
      <c r="B185" s="5"/>
      <c r="C185" s="261"/>
      <c r="D185" s="261" t="s">
        <v>64</v>
      </c>
      <c r="E185" s="262">
        <v>981013313</v>
      </c>
      <c r="F185" s="625" t="s">
        <v>606</v>
      </c>
      <c r="G185" s="625"/>
      <c r="H185" s="625"/>
      <c r="I185" s="625"/>
      <c r="J185" s="174" t="s">
        <v>356</v>
      </c>
      <c r="K185" s="264">
        <f>SUM(K186:K187)</f>
        <v>575.2500000000001</v>
      </c>
      <c r="L185" s="626"/>
      <c r="M185" s="626"/>
      <c r="N185" s="619">
        <f>ROUND(L185*K185,2)</f>
        <v>0</v>
      </c>
      <c r="O185" s="619"/>
      <c r="P185" s="619"/>
      <c r="Q185" s="619"/>
      <c r="R185" s="6"/>
      <c r="T185" s="142"/>
      <c r="W185" s="177">
        <f>K185*0.1*0.2*2.4</f>
        <v>27.612000000000005</v>
      </c>
      <c r="X185" s="177">
        <f>K185*0.1*0.6*2.1</f>
        <v>72.48150000000003</v>
      </c>
      <c r="Z185" s="177">
        <f>K185*0.1*0.1*0.8</f>
        <v>4.602000000000001</v>
      </c>
      <c r="AA185" s="177">
        <f>K185*0.1*0.1*2</f>
        <v>11.505000000000003</v>
      </c>
    </row>
    <row r="186" spans="2:29" s="177" customFormat="1" ht="13.5" outlineLevel="1">
      <c r="B186" s="175"/>
      <c r="E186" s="319" t="s">
        <v>607</v>
      </c>
      <c r="F186" s="627" t="s">
        <v>825</v>
      </c>
      <c r="G186" s="628">
        <f>142.9*3.9</f>
        <v>557.3100000000001</v>
      </c>
      <c r="H186" s="628">
        <f>142.9*3.9</f>
        <v>557.3100000000001</v>
      </c>
      <c r="I186" s="628">
        <f>142.9*3.9</f>
        <v>557.3100000000001</v>
      </c>
      <c r="J186" s="176"/>
      <c r="K186" s="266">
        <f>142.9*3.9</f>
        <v>557.3100000000001</v>
      </c>
      <c r="L186" s="419"/>
      <c r="M186" s="419"/>
      <c r="R186" s="178"/>
      <c r="T186" s="142"/>
      <c r="AC186" s="386"/>
    </row>
    <row r="187" spans="2:29" s="177" customFormat="1" ht="13.5" outlineLevel="1">
      <c r="B187" s="175"/>
      <c r="E187" s="319" t="s">
        <v>608</v>
      </c>
      <c r="F187" s="627" t="s">
        <v>826</v>
      </c>
      <c r="G187" s="628">
        <f>(2.7*1.8+2.1*1.4)*2.3</f>
        <v>17.94</v>
      </c>
      <c r="H187" s="628">
        <f>(2.7*1.8+2.1*1.4)*2.3</f>
        <v>17.94</v>
      </c>
      <c r="I187" s="628">
        <f>(2.7*1.8+2.1*1.4)*2.3</f>
        <v>17.94</v>
      </c>
      <c r="J187" s="176"/>
      <c r="K187" s="266">
        <f>(2.7*1.8+2.1*1.4)*2.3</f>
        <v>17.94</v>
      </c>
      <c r="L187" s="419"/>
      <c r="M187" s="419"/>
      <c r="R187" s="178"/>
      <c r="T187" s="142"/>
      <c r="AC187" s="386"/>
    </row>
    <row r="188" spans="2:20" ht="27" customHeight="1" outlineLevel="1">
      <c r="B188" s="5"/>
      <c r="C188" s="261"/>
      <c r="D188" s="261" t="s">
        <v>64</v>
      </c>
      <c r="E188" s="262">
        <v>713151813</v>
      </c>
      <c r="F188" s="625" t="s">
        <v>672</v>
      </c>
      <c r="G188" s="625"/>
      <c r="H188" s="625"/>
      <c r="I188" s="625"/>
      <c r="J188" s="174" t="s">
        <v>65</v>
      </c>
      <c r="K188" s="264">
        <f>SUM(K189:K192)</f>
        <v>514.83</v>
      </c>
      <c r="L188" s="626"/>
      <c r="M188" s="626"/>
      <c r="N188" s="619">
        <f>ROUND(L188*K188,2)</f>
        <v>0</v>
      </c>
      <c r="O188" s="619"/>
      <c r="P188" s="619"/>
      <c r="Q188" s="619"/>
      <c r="R188" s="6"/>
      <c r="T188" s="142"/>
    </row>
    <row r="189" spans="2:22" s="177" customFormat="1" ht="11.25" customHeight="1" outlineLevel="1">
      <c r="B189" s="175"/>
      <c r="E189" s="319" t="s">
        <v>1142</v>
      </c>
      <c r="F189" s="627" t="s">
        <v>113</v>
      </c>
      <c r="G189" s="628"/>
      <c r="H189" s="628"/>
      <c r="I189" s="628"/>
      <c r="J189" s="176"/>
      <c r="K189" s="266">
        <f>6.5*2*(18.7+12.4)/2</f>
        <v>202.15</v>
      </c>
      <c r="L189" s="419"/>
      <c r="M189" s="419"/>
      <c r="R189" s="178"/>
      <c r="T189" s="142"/>
      <c r="V189" s="386"/>
    </row>
    <row r="190" spans="2:22" s="177" customFormat="1" ht="11.25" customHeight="1" outlineLevel="1">
      <c r="B190" s="175"/>
      <c r="E190" s="319" t="s">
        <v>1145</v>
      </c>
      <c r="F190" s="627" t="s">
        <v>113</v>
      </c>
      <c r="G190" s="628"/>
      <c r="H190" s="628"/>
      <c r="I190" s="628"/>
      <c r="J190" s="176"/>
      <c r="K190" s="266">
        <f>2.3*(12.4+3)</f>
        <v>35.419999999999995</v>
      </c>
      <c r="L190" s="419"/>
      <c r="M190" s="419"/>
      <c r="R190" s="178"/>
      <c r="T190" s="142"/>
      <c r="V190" s="386"/>
    </row>
    <row r="191" spans="2:22" s="177" customFormat="1" ht="13.5" outlineLevel="1">
      <c r="B191" s="175"/>
      <c r="E191" s="319" t="s">
        <v>1143</v>
      </c>
      <c r="F191" s="627" t="s">
        <v>113</v>
      </c>
      <c r="G191" s="627"/>
      <c r="H191" s="627"/>
      <c r="I191" s="627"/>
      <c r="J191" s="176"/>
      <c r="K191" s="266">
        <f>4.2*2*(23.6+32.3)/2</f>
        <v>234.78</v>
      </c>
      <c r="L191" s="419"/>
      <c r="M191" s="419"/>
      <c r="R191" s="178"/>
      <c r="T191" s="142"/>
      <c r="V191" s="386"/>
    </row>
    <row r="192" spans="2:22" s="177" customFormat="1" ht="11.25" customHeight="1" outlineLevel="1">
      <c r="B192" s="175"/>
      <c r="E192" s="319" t="s">
        <v>1147</v>
      </c>
      <c r="F192" s="627" t="s">
        <v>113</v>
      </c>
      <c r="G192" s="628"/>
      <c r="H192" s="628"/>
      <c r="I192" s="628"/>
      <c r="J192" s="176"/>
      <c r="K192" s="266">
        <f>1.8*(23.6)</f>
        <v>42.480000000000004</v>
      </c>
      <c r="L192" s="419"/>
      <c r="M192" s="419"/>
      <c r="R192" s="178"/>
      <c r="T192" s="142"/>
      <c r="V192" s="386"/>
    </row>
    <row r="193" spans="2:20" ht="13.5" outlineLevel="1">
      <c r="B193" s="5"/>
      <c r="C193" s="261"/>
      <c r="D193" s="261" t="s">
        <v>64</v>
      </c>
      <c r="E193" s="262">
        <v>725110814</v>
      </c>
      <c r="F193" s="625" t="s">
        <v>371</v>
      </c>
      <c r="G193" s="625"/>
      <c r="H193" s="625"/>
      <c r="I193" s="625"/>
      <c r="J193" s="174" t="s">
        <v>69</v>
      </c>
      <c r="K193" s="264">
        <f>SUM(K194:K194)</f>
        <v>2</v>
      </c>
      <c r="L193" s="626"/>
      <c r="M193" s="626"/>
      <c r="N193" s="619">
        <f>ROUND(L193*K193,2)</f>
        <v>0</v>
      </c>
      <c r="O193" s="619"/>
      <c r="P193" s="619"/>
      <c r="Q193" s="619"/>
      <c r="R193" s="6"/>
      <c r="T193" s="142"/>
    </row>
    <row r="194" spans="2:29" s="177" customFormat="1" ht="13.5" outlineLevel="1">
      <c r="B194" s="175"/>
      <c r="E194" s="319" t="s">
        <v>84</v>
      </c>
      <c r="F194" s="627"/>
      <c r="G194" s="628"/>
      <c r="H194" s="628"/>
      <c r="I194" s="628"/>
      <c r="J194" s="176"/>
      <c r="K194" s="266">
        <v>2</v>
      </c>
      <c r="L194" s="419"/>
      <c r="M194" s="419"/>
      <c r="R194" s="178"/>
      <c r="T194" s="142"/>
      <c r="AC194" s="386"/>
    </row>
    <row r="195" spans="2:20" ht="13.5" outlineLevel="1">
      <c r="B195" s="5"/>
      <c r="C195" s="261"/>
      <c r="D195" s="261" t="s">
        <v>64</v>
      </c>
      <c r="E195" s="262">
        <v>725122817</v>
      </c>
      <c r="F195" s="625" t="s">
        <v>657</v>
      </c>
      <c r="G195" s="625"/>
      <c r="H195" s="625"/>
      <c r="I195" s="625"/>
      <c r="J195" s="174" t="s">
        <v>69</v>
      </c>
      <c r="K195" s="264">
        <f>SUM(K196:K196)</f>
        <v>2</v>
      </c>
      <c r="L195" s="626"/>
      <c r="M195" s="626"/>
      <c r="N195" s="619">
        <f>ROUND(L195*K195,2)</f>
        <v>0</v>
      </c>
      <c r="O195" s="619"/>
      <c r="P195" s="619"/>
      <c r="Q195" s="619"/>
      <c r="R195" s="6"/>
      <c r="T195" s="142"/>
    </row>
    <row r="196" spans="2:29" s="177" customFormat="1" ht="13.5" outlineLevel="1">
      <c r="B196" s="175"/>
      <c r="E196" s="319" t="s">
        <v>84</v>
      </c>
      <c r="F196" s="627"/>
      <c r="G196" s="628"/>
      <c r="H196" s="628"/>
      <c r="I196" s="628"/>
      <c r="J196" s="176"/>
      <c r="K196" s="266">
        <v>2</v>
      </c>
      <c r="L196" s="419"/>
      <c r="M196" s="419"/>
      <c r="R196" s="178"/>
      <c r="T196" s="142"/>
      <c r="AC196" s="386"/>
    </row>
    <row r="197" spans="2:20" ht="13.5" outlineLevel="1">
      <c r="B197" s="5"/>
      <c r="C197" s="261"/>
      <c r="D197" s="261" t="s">
        <v>64</v>
      </c>
      <c r="E197" s="262">
        <v>725210821</v>
      </c>
      <c r="F197" s="625" t="s">
        <v>372</v>
      </c>
      <c r="G197" s="625"/>
      <c r="H197" s="625"/>
      <c r="I197" s="625"/>
      <c r="J197" s="174" t="s">
        <v>69</v>
      </c>
      <c r="K197" s="264">
        <f>SUM(K198:K198)</f>
        <v>2</v>
      </c>
      <c r="L197" s="626"/>
      <c r="M197" s="626"/>
      <c r="N197" s="619">
        <f>ROUND(L197*K197,2)</f>
        <v>0</v>
      </c>
      <c r="O197" s="619"/>
      <c r="P197" s="619"/>
      <c r="Q197" s="619"/>
      <c r="R197" s="6"/>
      <c r="T197" s="142"/>
    </row>
    <row r="198" spans="2:29" s="177" customFormat="1" ht="13.5" outlineLevel="1">
      <c r="B198" s="175"/>
      <c r="E198" s="319" t="s">
        <v>84</v>
      </c>
      <c r="F198" s="627"/>
      <c r="G198" s="628"/>
      <c r="H198" s="628"/>
      <c r="I198" s="628"/>
      <c r="J198" s="176"/>
      <c r="K198" s="266">
        <v>2</v>
      </c>
      <c r="L198" s="419"/>
      <c r="M198" s="419"/>
      <c r="R198" s="178"/>
      <c r="T198" s="142"/>
      <c r="AC198" s="386"/>
    </row>
    <row r="199" spans="2:20" ht="13.5" outlineLevel="1">
      <c r="B199" s="5"/>
      <c r="C199" s="261"/>
      <c r="D199" s="261" t="s">
        <v>64</v>
      </c>
      <c r="E199" s="262">
        <v>725820801</v>
      </c>
      <c r="F199" s="625" t="s">
        <v>373</v>
      </c>
      <c r="G199" s="625"/>
      <c r="H199" s="625"/>
      <c r="I199" s="625"/>
      <c r="J199" s="174" t="s">
        <v>69</v>
      </c>
      <c r="K199" s="264">
        <f>SUM(K200:K200)</f>
        <v>2</v>
      </c>
      <c r="L199" s="626"/>
      <c r="M199" s="626"/>
      <c r="N199" s="619">
        <f>ROUND(L199*K199,2)</f>
        <v>0</v>
      </c>
      <c r="O199" s="619"/>
      <c r="P199" s="619"/>
      <c r="Q199" s="619"/>
      <c r="R199" s="6"/>
      <c r="T199" s="142"/>
    </row>
    <row r="200" spans="2:29" s="177" customFormat="1" ht="13.5" outlineLevel="1">
      <c r="B200" s="175"/>
      <c r="E200" s="319" t="s">
        <v>84</v>
      </c>
      <c r="F200" s="627"/>
      <c r="G200" s="628"/>
      <c r="H200" s="628"/>
      <c r="I200" s="628"/>
      <c r="J200" s="176"/>
      <c r="K200" s="266">
        <f>K198</f>
        <v>2</v>
      </c>
      <c r="L200" s="419"/>
      <c r="M200" s="419"/>
      <c r="R200" s="178"/>
      <c r="T200" s="142"/>
      <c r="AC200" s="386"/>
    </row>
    <row r="201" spans="2:26" ht="13.5" outlineLevel="1">
      <c r="B201" s="5"/>
      <c r="C201" s="261"/>
      <c r="D201" s="261" t="s">
        <v>64</v>
      </c>
      <c r="E201" s="262">
        <v>762331812</v>
      </c>
      <c r="F201" s="625" t="s">
        <v>666</v>
      </c>
      <c r="G201" s="625"/>
      <c r="H201" s="625"/>
      <c r="I201" s="625"/>
      <c r="J201" s="174" t="s">
        <v>70</v>
      </c>
      <c r="K201" s="264">
        <f>SUM(K202:K203)</f>
        <v>6.2</v>
      </c>
      <c r="L201" s="626"/>
      <c r="M201" s="626"/>
      <c r="N201" s="619">
        <f>ROUND(L201*K201,2)</f>
        <v>0</v>
      </c>
      <c r="O201" s="619"/>
      <c r="P201" s="619"/>
      <c r="Q201" s="619"/>
      <c r="R201" s="6"/>
      <c r="T201" s="142"/>
      <c r="Z201" s="177">
        <f>J202*K202+J203*K203</f>
        <v>0.11152000000000001</v>
      </c>
    </row>
    <row r="202" spans="2:29" s="177" customFormat="1" ht="13.5" outlineLevel="1">
      <c r="B202" s="175"/>
      <c r="E202" s="319" t="s">
        <v>664</v>
      </c>
      <c r="F202" s="627" t="s">
        <v>667</v>
      </c>
      <c r="G202" s="628"/>
      <c r="H202" s="628"/>
      <c r="I202" s="628"/>
      <c r="J202" s="176">
        <f>0.16*0.1</f>
        <v>0.016</v>
      </c>
      <c r="K202" s="266">
        <f>4</f>
        <v>4</v>
      </c>
      <c r="L202" s="419"/>
      <c r="M202" s="419"/>
      <c r="R202" s="178"/>
      <c r="T202" s="142"/>
      <c r="AC202" s="386"/>
    </row>
    <row r="203" spans="2:29" s="177" customFormat="1" ht="13.5" outlineLevel="1">
      <c r="B203" s="175"/>
      <c r="E203" s="319" t="s">
        <v>664</v>
      </c>
      <c r="F203" s="627" t="s">
        <v>668</v>
      </c>
      <c r="G203" s="628"/>
      <c r="H203" s="628"/>
      <c r="I203" s="628"/>
      <c r="J203" s="176">
        <f>0.18*0.12</f>
        <v>0.021599999999999998</v>
      </c>
      <c r="K203" s="266">
        <f>2.2</f>
        <v>2.2</v>
      </c>
      <c r="L203" s="419"/>
      <c r="M203" s="419"/>
      <c r="R203" s="178"/>
      <c r="T203" s="142"/>
      <c r="AC203" s="386"/>
    </row>
    <row r="204" spans="2:26" ht="13.5" outlineLevel="1">
      <c r="B204" s="5"/>
      <c r="C204" s="261"/>
      <c r="D204" s="261" t="s">
        <v>64</v>
      </c>
      <c r="E204" s="262">
        <v>762331814</v>
      </c>
      <c r="F204" s="625" t="s">
        <v>671</v>
      </c>
      <c r="G204" s="625"/>
      <c r="H204" s="625"/>
      <c r="I204" s="625"/>
      <c r="J204" s="174" t="s">
        <v>70</v>
      </c>
      <c r="K204" s="264">
        <f>SUM(K205:K205)</f>
        <v>42</v>
      </c>
      <c r="L204" s="626"/>
      <c r="M204" s="626"/>
      <c r="N204" s="619">
        <f>ROUND(L204*K204,2)</f>
        <v>0</v>
      </c>
      <c r="O204" s="619"/>
      <c r="P204" s="619"/>
      <c r="Q204" s="619"/>
      <c r="R204" s="6"/>
      <c r="T204" s="142"/>
      <c r="Z204" s="177">
        <f>K205*J205</f>
        <v>1.3608</v>
      </c>
    </row>
    <row r="205" spans="2:29" s="177" customFormat="1" ht="13.5" outlineLevel="1">
      <c r="B205" s="175"/>
      <c r="E205" s="319" t="s">
        <v>669</v>
      </c>
      <c r="F205" s="627" t="s">
        <v>670</v>
      </c>
      <c r="G205" s="628"/>
      <c r="H205" s="628"/>
      <c r="I205" s="628"/>
      <c r="J205" s="176">
        <f>0.18*0.18</f>
        <v>0.0324</v>
      </c>
      <c r="K205" s="266">
        <f>2.3*4+2.6*2*4+1.5*4*2</f>
        <v>42</v>
      </c>
      <c r="L205" s="419"/>
      <c r="M205" s="419"/>
      <c r="R205" s="178"/>
      <c r="T205" s="142"/>
      <c r="AC205" s="386"/>
    </row>
    <row r="206" spans="2:26" ht="13.5" outlineLevel="1">
      <c r="B206" s="5"/>
      <c r="C206" s="261"/>
      <c r="D206" s="261" t="s">
        <v>64</v>
      </c>
      <c r="E206" s="262">
        <v>762342811</v>
      </c>
      <c r="F206" s="625" t="s">
        <v>381</v>
      </c>
      <c r="G206" s="625"/>
      <c r="H206" s="625"/>
      <c r="I206" s="625"/>
      <c r="J206" s="174" t="s">
        <v>65</v>
      </c>
      <c r="K206" s="264">
        <f>K212</f>
        <v>8.8</v>
      </c>
      <c r="L206" s="626"/>
      <c r="M206" s="626"/>
      <c r="N206" s="619">
        <f>ROUND(L206*K206,2)</f>
        <v>0</v>
      </c>
      <c r="O206" s="619"/>
      <c r="P206" s="619"/>
      <c r="Q206" s="619"/>
      <c r="R206" s="6"/>
      <c r="T206" s="142"/>
      <c r="Z206" s="177">
        <f>K206*0.05*0.3*0.8</f>
        <v>0.10560000000000001</v>
      </c>
    </row>
    <row r="207" spans="2:26" ht="13.5" outlineLevel="1">
      <c r="B207" s="5"/>
      <c r="C207" s="261"/>
      <c r="D207" s="261" t="s">
        <v>64</v>
      </c>
      <c r="E207" s="262">
        <v>762342813</v>
      </c>
      <c r="F207" s="625" t="s">
        <v>665</v>
      </c>
      <c r="G207" s="625"/>
      <c r="H207" s="625"/>
      <c r="I207" s="625"/>
      <c r="J207" s="174" t="s">
        <v>65</v>
      </c>
      <c r="K207" s="264">
        <f>K206</f>
        <v>8.8</v>
      </c>
      <c r="L207" s="626"/>
      <c r="M207" s="626"/>
      <c r="N207" s="619">
        <f>ROUND(L207*K207,2)</f>
        <v>0</v>
      </c>
      <c r="O207" s="619"/>
      <c r="P207" s="619"/>
      <c r="Q207" s="619"/>
      <c r="R207" s="6"/>
      <c r="T207" s="142"/>
      <c r="Z207" s="177">
        <f>K207*0.05*0.3*0.8</f>
        <v>0.10560000000000001</v>
      </c>
    </row>
    <row r="208" spans="2:26" ht="13.5" outlineLevel="1">
      <c r="B208" s="5"/>
      <c r="C208" s="261"/>
      <c r="D208" s="261" t="s">
        <v>64</v>
      </c>
      <c r="E208" s="262">
        <v>762522811</v>
      </c>
      <c r="F208" s="625" t="s">
        <v>375</v>
      </c>
      <c r="G208" s="625"/>
      <c r="H208" s="625"/>
      <c r="I208" s="625"/>
      <c r="J208" s="174" t="s">
        <v>65</v>
      </c>
      <c r="K208" s="264">
        <f>SUM(K209:K209)</f>
        <v>231.04000000000002</v>
      </c>
      <c r="L208" s="626"/>
      <c r="M208" s="626"/>
      <c r="N208" s="619">
        <f>ROUND(L208*K208,2)</f>
        <v>0</v>
      </c>
      <c r="O208" s="619"/>
      <c r="P208" s="619"/>
      <c r="Q208" s="619"/>
      <c r="R208" s="6"/>
      <c r="T208" s="142"/>
      <c r="Z208" s="177">
        <f>K208*0.05*0.8</f>
        <v>9.241600000000002</v>
      </c>
    </row>
    <row r="209" spans="2:29" s="177" customFormat="1" ht="13.5" outlineLevel="1">
      <c r="B209" s="175"/>
      <c r="E209" s="319" t="s">
        <v>85</v>
      </c>
      <c r="F209" s="627" t="s">
        <v>828</v>
      </c>
      <c r="G209" s="627">
        <f>27.26+17.17+22.69+23.2+26.64+43.31+24.54+34+7.87+4.36</f>
        <v>231.04000000000002</v>
      </c>
      <c r="H209" s="627">
        <f>27.26+17.17+22.69+23.2+26.64+43.31+24.54+34+7.87+4.36</f>
        <v>231.04000000000002</v>
      </c>
      <c r="I209" s="627">
        <f>27.26+17.17+22.69+23.2+26.64+43.31+24.54+34+7.87+4.36</f>
        <v>231.04000000000002</v>
      </c>
      <c r="J209" s="176"/>
      <c r="K209" s="266">
        <f>27.26+17.17+22.69+23.2+26.64+43.31+24.54+34+7.87+4.36</f>
        <v>231.04000000000002</v>
      </c>
      <c r="L209" s="419"/>
      <c r="M209" s="419"/>
      <c r="R209" s="178"/>
      <c r="T209" s="142"/>
      <c r="AC209" s="386"/>
    </row>
    <row r="210" spans="2:20" ht="27" customHeight="1" outlineLevel="1">
      <c r="B210" s="5"/>
      <c r="C210" s="261"/>
      <c r="D210" s="261" t="s">
        <v>64</v>
      </c>
      <c r="E210" s="262">
        <v>763131821</v>
      </c>
      <c r="F210" s="625" t="s">
        <v>661</v>
      </c>
      <c r="G210" s="625"/>
      <c r="H210" s="625"/>
      <c r="I210" s="625"/>
      <c r="J210" s="174" t="s">
        <v>65</v>
      </c>
      <c r="K210" s="264">
        <f>SUM(K211:K211)</f>
        <v>27.72</v>
      </c>
      <c r="L210" s="626"/>
      <c r="M210" s="626"/>
      <c r="N210" s="619">
        <f>ROUND(L210*K210,2)</f>
        <v>0</v>
      </c>
      <c r="O210" s="619"/>
      <c r="P210" s="619"/>
      <c r="Q210" s="619"/>
      <c r="R210" s="6"/>
      <c r="T210" s="142"/>
    </row>
    <row r="211" spans="2:29" s="177" customFormat="1" ht="13.5" outlineLevel="1">
      <c r="B211" s="175"/>
      <c r="E211" s="319" t="s">
        <v>662</v>
      </c>
      <c r="F211" s="627" t="s">
        <v>829</v>
      </c>
      <c r="G211" s="628">
        <f>27.72</f>
        <v>27.72</v>
      </c>
      <c r="H211" s="628">
        <f>27.72</f>
        <v>27.72</v>
      </c>
      <c r="I211" s="628">
        <f>27.72</f>
        <v>27.72</v>
      </c>
      <c r="J211" s="176"/>
      <c r="K211" s="266">
        <f>27.72</f>
        <v>27.72</v>
      </c>
      <c r="L211" s="419"/>
      <c r="M211" s="419"/>
      <c r="R211" s="178"/>
      <c r="T211" s="142"/>
      <c r="AC211" s="386"/>
    </row>
    <row r="212" spans="2:25" ht="13.5" outlineLevel="1">
      <c r="B212" s="5"/>
      <c r="C212" s="261"/>
      <c r="D212" s="261" t="s">
        <v>64</v>
      </c>
      <c r="E212" s="262">
        <v>765111823</v>
      </c>
      <c r="F212" s="625" t="s">
        <v>1987</v>
      </c>
      <c r="G212" s="625"/>
      <c r="H212" s="625"/>
      <c r="I212" s="625"/>
      <c r="J212" s="174" t="s">
        <v>65</v>
      </c>
      <c r="K212" s="264">
        <f>SUM(K213:K213)</f>
        <v>8.8</v>
      </c>
      <c r="L212" s="626"/>
      <c r="M212" s="626"/>
      <c r="N212" s="619">
        <f>ROUND(L212*K212,2)</f>
        <v>0</v>
      </c>
      <c r="O212" s="619"/>
      <c r="P212" s="619"/>
      <c r="Q212" s="619"/>
      <c r="R212" s="6"/>
      <c r="T212" s="142"/>
      <c r="Y212" s="177">
        <f>K212*0.035*2.1</f>
        <v>0.6468000000000002</v>
      </c>
    </row>
    <row r="213" spans="2:29" s="177" customFormat="1" ht="13.5" outlineLevel="1">
      <c r="B213" s="175"/>
      <c r="E213" s="319" t="s">
        <v>664</v>
      </c>
      <c r="F213" s="627" t="s">
        <v>827</v>
      </c>
      <c r="G213" s="628">
        <f>4*2.2</f>
        <v>8.8</v>
      </c>
      <c r="H213" s="628">
        <f>4*2.2</f>
        <v>8.8</v>
      </c>
      <c r="I213" s="628">
        <f>4*2.2</f>
        <v>8.8</v>
      </c>
      <c r="J213" s="176"/>
      <c r="K213" s="266">
        <f>4*2.2</f>
        <v>8.8</v>
      </c>
      <c r="L213" s="419"/>
      <c r="M213" s="419"/>
      <c r="R213" s="178"/>
      <c r="T213" s="142"/>
      <c r="AC213" s="386"/>
    </row>
    <row r="214" spans="2:20" ht="13.5" outlineLevel="1">
      <c r="B214" s="5"/>
      <c r="C214" s="261"/>
      <c r="D214" s="261" t="s">
        <v>64</v>
      </c>
      <c r="E214" s="262">
        <v>765111831</v>
      </c>
      <c r="F214" s="625" t="s">
        <v>380</v>
      </c>
      <c r="G214" s="625"/>
      <c r="H214" s="625"/>
      <c r="I214" s="625"/>
      <c r="J214" s="174" t="s">
        <v>65</v>
      </c>
      <c r="K214" s="264">
        <f>K212</f>
        <v>8.8</v>
      </c>
      <c r="L214" s="626"/>
      <c r="M214" s="626"/>
      <c r="N214" s="619">
        <f>ROUND(L214*K214,2)</f>
        <v>0</v>
      </c>
      <c r="O214" s="619"/>
      <c r="P214" s="619"/>
      <c r="Q214" s="619"/>
      <c r="R214" s="6"/>
      <c r="T214" s="142"/>
    </row>
    <row r="215" spans="2:26" ht="13.5" outlineLevel="1">
      <c r="B215" s="5"/>
      <c r="C215" s="261"/>
      <c r="D215" s="261" t="s">
        <v>64</v>
      </c>
      <c r="E215" s="262">
        <v>766691914</v>
      </c>
      <c r="F215" s="625" t="s">
        <v>366</v>
      </c>
      <c r="G215" s="625"/>
      <c r="H215" s="625"/>
      <c r="I215" s="625"/>
      <c r="J215" s="174" t="s">
        <v>69</v>
      </c>
      <c r="K215" s="264">
        <f>SUM(K216:K217)</f>
        <v>32</v>
      </c>
      <c r="L215" s="626"/>
      <c r="M215" s="626"/>
      <c r="N215" s="619">
        <f>ROUND(L215*K215,2)</f>
        <v>0</v>
      </c>
      <c r="O215" s="619"/>
      <c r="P215" s="619"/>
      <c r="Q215" s="619"/>
      <c r="R215" s="6"/>
      <c r="T215" s="142"/>
      <c r="Z215" s="177">
        <f>K215*0.03</f>
        <v>0.96</v>
      </c>
    </row>
    <row r="216" spans="2:29" s="177" customFormat="1" ht="13.5" outlineLevel="1">
      <c r="B216" s="175"/>
      <c r="E216" s="319" t="s">
        <v>383</v>
      </c>
      <c r="F216" s="627">
        <v>14</v>
      </c>
      <c r="G216" s="628">
        <v>12</v>
      </c>
      <c r="H216" s="628">
        <v>12</v>
      </c>
      <c r="I216" s="628">
        <v>12</v>
      </c>
      <c r="J216" s="176"/>
      <c r="K216" s="266">
        <v>14</v>
      </c>
      <c r="L216" s="419"/>
      <c r="M216" s="419"/>
      <c r="R216" s="178"/>
      <c r="T216" s="142"/>
      <c r="AC216" s="386"/>
    </row>
    <row r="217" spans="2:29" s="177" customFormat="1" ht="13.5" outlineLevel="1">
      <c r="B217" s="175"/>
      <c r="E217" s="319" t="s">
        <v>384</v>
      </c>
      <c r="F217" s="627">
        <v>18</v>
      </c>
      <c r="G217" s="628">
        <v>18</v>
      </c>
      <c r="H217" s="628">
        <v>18</v>
      </c>
      <c r="I217" s="628">
        <v>18</v>
      </c>
      <c r="J217" s="176"/>
      <c r="K217" s="266">
        <v>18</v>
      </c>
      <c r="L217" s="419"/>
      <c r="M217" s="419"/>
      <c r="R217" s="178"/>
      <c r="T217" s="142"/>
      <c r="AC217" s="386"/>
    </row>
    <row r="218" spans="2:27" ht="13.5" outlineLevel="1">
      <c r="B218" s="5"/>
      <c r="C218" s="261"/>
      <c r="D218" s="261" t="s">
        <v>64</v>
      </c>
      <c r="E218" s="262">
        <v>771571810</v>
      </c>
      <c r="F218" s="625" t="s">
        <v>374</v>
      </c>
      <c r="G218" s="625"/>
      <c r="H218" s="625"/>
      <c r="I218" s="625"/>
      <c r="J218" s="174" t="s">
        <v>65</v>
      </c>
      <c r="K218" s="264">
        <f>SUM(K219:K220)</f>
        <v>234.13</v>
      </c>
      <c r="L218" s="626"/>
      <c r="M218" s="626"/>
      <c r="N218" s="619">
        <f>ROUND(L218*K218,2)</f>
        <v>0</v>
      </c>
      <c r="O218" s="619"/>
      <c r="P218" s="619"/>
      <c r="Q218" s="619"/>
      <c r="R218" s="6"/>
      <c r="T218" s="142"/>
      <c r="AA218" s="177">
        <f>K218*0.035</f>
        <v>8.194550000000001</v>
      </c>
    </row>
    <row r="219" spans="2:29" s="177" customFormat="1" ht="22.5" outlineLevel="1">
      <c r="B219" s="175"/>
      <c r="E219" s="319" t="s">
        <v>610</v>
      </c>
      <c r="F219" s="627" t="s">
        <v>830</v>
      </c>
      <c r="G219" s="628">
        <f>(22.76+27.72+40.52)</f>
        <v>91</v>
      </c>
      <c r="H219" s="628">
        <f>(22.76+27.72+40.52)</f>
        <v>91</v>
      </c>
      <c r="I219" s="628">
        <f>(22.76+27.72+40.52)</f>
        <v>91</v>
      </c>
      <c r="J219" s="176"/>
      <c r="K219" s="266">
        <f>(22.76+27.72+40.52)</f>
        <v>91</v>
      </c>
      <c r="L219" s="419"/>
      <c r="M219" s="419"/>
      <c r="R219" s="178"/>
      <c r="T219" s="142"/>
      <c r="AC219" s="386"/>
    </row>
    <row r="220" spans="2:29" s="177" customFormat="1" ht="22.5" outlineLevel="1">
      <c r="B220" s="175"/>
      <c r="E220" s="319" t="s">
        <v>611</v>
      </c>
      <c r="F220" s="627" t="s">
        <v>831</v>
      </c>
      <c r="G220" s="628">
        <f>(20+15.1+30.61+4.95+2.28+23.93+28.19+18.07)</f>
        <v>143.13</v>
      </c>
      <c r="H220" s="628">
        <f>(20+15.1+30.61+4.95+2.28+23.93+28.19+18.07)</f>
        <v>143.13</v>
      </c>
      <c r="I220" s="628">
        <f>(20+15.1+30.61+4.95+2.28+23.93+28.19+18.07)</f>
        <v>143.13</v>
      </c>
      <c r="J220" s="176"/>
      <c r="K220" s="266">
        <f>(20+15.1+30.61+4.95+2.28+23.93+28.19+18.07)</f>
        <v>143.13</v>
      </c>
      <c r="L220" s="419"/>
      <c r="M220" s="419"/>
      <c r="R220" s="178"/>
      <c r="T220" s="142"/>
      <c r="AC220" s="386"/>
    </row>
    <row r="221" spans="2:29" s="143" customFormat="1" ht="12.75">
      <c r="B221" s="139"/>
      <c r="C221" s="140"/>
      <c r="D221" s="140" t="s">
        <v>385</v>
      </c>
      <c r="E221" s="140"/>
      <c r="F221" s="140"/>
      <c r="G221" s="140"/>
      <c r="H221" s="140"/>
      <c r="I221" s="140"/>
      <c r="J221" s="172"/>
      <c r="K221" s="140"/>
      <c r="L221" s="186"/>
      <c r="M221" s="186"/>
      <c r="N221" s="633">
        <f>SUM(N222:Q230)</f>
        <v>0</v>
      </c>
      <c r="O221" s="633"/>
      <c r="P221" s="633"/>
      <c r="Q221" s="633"/>
      <c r="R221" s="141"/>
      <c r="T221" s="142">
        <f>SUM(N221:Q230)/2</f>
        <v>0</v>
      </c>
      <c r="U221" s="177"/>
      <c r="V221" s="177"/>
      <c r="W221" s="177">
        <v>2.4</v>
      </c>
      <c r="X221" s="177">
        <v>2</v>
      </c>
      <c r="Y221" s="177">
        <v>1.2</v>
      </c>
      <c r="Z221" s="177">
        <v>2</v>
      </c>
      <c r="AA221" s="177">
        <v>0.6</v>
      </c>
      <c r="AB221" s="177">
        <v>1.8</v>
      </c>
      <c r="AC221" s="384"/>
    </row>
    <row r="222" spans="2:20" ht="27" customHeight="1" outlineLevel="1">
      <c r="B222" s="5"/>
      <c r="C222" s="261"/>
      <c r="D222" s="261" t="s">
        <v>64</v>
      </c>
      <c r="E222" s="262" t="s">
        <v>1956</v>
      </c>
      <c r="F222" s="625" t="s">
        <v>1957</v>
      </c>
      <c r="G222" s="625"/>
      <c r="H222" s="625"/>
      <c r="I222" s="625"/>
      <c r="J222" s="174" t="s">
        <v>68</v>
      </c>
      <c r="K222" s="264">
        <f>SUM(K226:K230)</f>
        <v>1057.6527448</v>
      </c>
      <c r="L222" s="626"/>
      <c r="M222" s="626"/>
      <c r="N222" s="619">
        <f>ROUND(L222*K222,2)</f>
        <v>0</v>
      </c>
      <c r="O222" s="619"/>
      <c r="P222" s="619"/>
      <c r="Q222" s="619"/>
      <c r="R222" s="6"/>
      <c r="T222" s="142"/>
    </row>
    <row r="223" spans="2:20" ht="13.5" outlineLevel="1">
      <c r="B223" s="5"/>
      <c r="C223" s="261"/>
      <c r="D223" s="261" t="s">
        <v>64</v>
      </c>
      <c r="E223" s="262">
        <v>997013501</v>
      </c>
      <c r="F223" s="625" t="s">
        <v>392</v>
      </c>
      <c r="G223" s="625"/>
      <c r="H223" s="625"/>
      <c r="I223" s="625"/>
      <c r="J223" s="174" t="s">
        <v>68</v>
      </c>
      <c r="K223" s="264">
        <f>K222</f>
        <v>1057.6527448</v>
      </c>
      <c r="L223" s="626"/>
      <c r="M223" s="626"/>
      <c r="N223" s="619">
        <f>ROUND(L223*K223,2)</f>
        <v>0</v>
      </c>
      <c r="O223" s="619"/>
      <c r="P223" s="619"/>
      <c r="Q223" s="619"/>
      <c r="R223" s="6"/>
      <c r="T223" s="142"/>
    </row>
    <row r="224" spans="2:20" ht="13.5" outlineLevel="1">
      <c r="B224" s="5"/>
      <c r="C224" s="261"/>
      <c r="D224" s="261" t="s">
        <v>64</v>
      </c>
      <c r="E224" s="262">
        <v>997013509</v>
      </c>
      <c r="F224" s="625" t="s">
        <v>393</v>
      </c>
      <c r="G224" s="625"/>
      <c r="H224" s="625"/>
      <c r="I224" s="625"/>
      <c r="J224" s="174" t="s">
        <v>68</v>
      </c>
      <c r="K224" s="264">
        <f>K225</f>
        <v>20095.4021512</v>
      </c>
      <c r="L224" s="626"/>
      <c r="M224" s="626"/>
      <c r="N224" s="619">
        <f>ROUND(L224*K224,2)</f>
        <v>0</v>
      </c>
      <c r="O224" s="619"/>
      <c r="P224" s="619"/>
      <c r="Q224" s="619"/>
      <c r="R224" s="6"/>
      <c r="T224" s="142"/>
    </row>
    <row r="225" spans="2:29" s="177" customFormat="1" ht="13.5" outlineLevel="1">
      <c r="B225" s="175"/>
      <c r="E225" s="319" t="s">
        <v>0</v>
      </c>
      <c r="F225" s="627" t="s">
        <v>2283</v>
      </c>
      <c r="G225" s="628"/>
      <c r="H225" s="628"/>
      <c r="I225" s="628"/>
      <c r="J225" s="176">
        <v>19</v>
      </c>
      <c r="K225" s="266">
        <f>K223*J225</f>
        <v>20095.4021512</v>
      </c>
      <c r="L225" s="419"/>
      <c r="M225" s="419"/>
      <c r="R225" s="178"/>
      <c r="T225" s="142"/>
      <c r="AC225" s="386"/>
    </row>
    <row r="226" spans="2:28" ht="27" customHeight="1" outlineLevel="1">
      <c r="B226" s="5"/>
      <c r="C226" s="261"/>
      <c r="D226" s="261" t="s">
        <v>64</v>
      </c>
      <c r="E226" s="262">
        <v>997013861</v>
      </c>
      <c r="F226" s="625" t="s">
        <v>386</v>
      </c>
      <c r="G226" s="625"/>
      <c r="H226" s="625"/>
      <c r="I226" s="625"/>
      <c r="J226" s="174" t="s">
        <v>68</v>
      </c>
      <c r="K226" s="264">
        <f>W227</f>
        <v>452.82828</v>
      </c>
      <c r="L226" s="626"/>
      <c r="M226" s="626"/>
      <c r="N226" s="619">
        <f>ROUND(L226*K226,2)</f>
        <v>0</v>
      </c>
      <c r="O226" s="619"/>
      <c r="P226" s="619"/>
      <c r="Q226" s="619"/>
      <c r="R226" s="6"/>
      <c r="T226" s="142"/>
      <c r="W226" s="177">
        <f aca="true" t="shared" si="4" ref="W226:AB226">W111</f>
        <v>188.67845</v>
      </c>
      <c r="X226" s="177">
        <f t="shared" si="4"/>
        <v>204.4216975</v>
      </c>
      <c r="Y226" s="177">
        <f t="shared" si="4"/>
        <v>1.8468</v>
      </c>
      <c r="Z226" s="177">
        <f t="shared" si="4"/>
        <v>50.484874</v>
      </c>
      <c r="AA226" s="177">
        <f t="shared" si="4"/>
        <v>154.65860299999997</v>
      </c>
      <c r="AB226" s="177">
        <f t="shared" si="4"/>
        <v>1.8</v>
      </c>
    </row>
    <row r="227" spans="2:28" ht="27" customHeight="1" outlineLevel="1">
      <c r="B227" s="5"/>
      <c r="C227" s="261"/>
      <c r="D227" s="261" t="s">
        <v>64</v>
      </c>
      <c r="E227" s="262">
        <v>997013863</v>
      </c>
      <c r="F227" s="625" t="s">
        <v>387</v>
      </c>
      <c r="G227" s="625"/>
      <c r="H227" s="625"/>
      <c r="I227" s="625"/>
      <c r="J227" s="174" t="s">
        <v>68</v>
      </c>
      <c r="K227" s="264">
        <f>X227</f>
        <v>408.843395</v>
      </c>
      <c r="L227" s="626"/>
      <c r="M227" s="626"/>
      <c r="N227" s="619">
        <f>ROUND(L227*K227,2)</f>
        <v>0</v>
      </c>
      <c r="O227" s="619"/>
      <c r="P227" s="619"/>
      <c r="Q227" s="619"/>
      <c r="R227" s="6"/>
      <c r="T227" s="142"/>
      <c r="W227" s="177">
        <f aca="true" t="shared" si="5" ref="W227:AB227">W226*W221</f>
        <v>452.82828</v>
      </c>
      <c r="X227" s="177">
        <f t="shared" si="5"/>
        <v>408.843395</v>
      </c>
      <c r="Y227" s="177">
        <f t="shared" si="5"/>
        <v>2.21616</v>
      </c>
      <c r="Z227" s="177">
        <f t="shared" si="5"/>
        <v>100.969748</v>
      </c>
      <c r="AA227" s="177">
        <f t="shared" si="5"/>
        <v>92.79516179999997</v>
      </c>
      <c r="AB227" s="177">
        <f t="shared" si="5"/>
        <v>3.24</v>
      </c>
    </row>
    <row r="228" spans="2:20" ht="27" customHeight="1" outlineLevel="1">
      <c r="B228" s="5"/>
      <c r="C228" s="261"/>
      <c r="D228" s="261" t="s">
        <v>64</v>
      </c>
      <c r="E228" s="262">
        <v>997013867</v>
      </c>
      <c r="F228" s="625" t="s">
        <v>388</v>
      </c>
      <c r="G228" s="625"/>
      <c r="H228" s="625"/>
      <c r="I228" s="625"/>
      <c r="J228" s="174" t="s">
        <v>68</v>
      </c>
      <c r="K228" s="264">
        <f>Y227</f>
        <v>2.21616</v>
      </c>
      <c r="L228" s="626"/>
      <c r="M228" s="626"/>
      <c r="N228" s="619">
        <f>ROUND(L228*K228,2)</f>
        <v>0</v>
      </c>
      <c r="O228" s="619"/>
      <c r="P228" s="619"/>
      <c r="Q228" s="619"/>
      <c r="R228" s="6"/>
      <c r="T228" s="142"/>
    </row>
    <row r="229" spans="2:20" ht="27" customHeight="1" outlineLevel="1">
      <c r="B229" s="5"/>
      <c r="C229" s="261"/>
      <c r="D229" s="261" t="s">
        <v>64</v>
      </c>
      <c r="E229" s="262">
        <v>997013871</v>
      </c>
      <c r="F229" s="625" t="s">
        <v>389</v>
      </c>
      <c r="G229" s="625"/>
      <c r="H229" s="625"/>
      <c r="I229" s="625"/>
      <c r="J229" s="174" t="s">
        <v>68</v>
      </c>
      <c r="K229" s="264">
        <f>AA227</f>
        <v>92.79516179999997</v>
      </c>
      <c r="L229" s="626"/>
      <c r="M229" s="626"/>
      <c r="N229" s="619">
        <f>ROUND(L229*K229,2)</f>
        <v>0</v>
      </c>
      <c r="O229" s="619"/>
      <c r="P229" s="619"/>
      <c r="Q229" s="619"/>
      <c r="R229" s="6"/>
      <c r="T229" s="142"/>
    </row>
    <row r="230" spans="2:20" ht="27" customHeight="1" outlineLevel="1">
      <c r="B230" s="5"/>
      <c r="C230" s="261"/>
      <c r="D230" s="261" t="s">
        <v>64</v>
      </c>
      <c r="E230" s="262">
        <v>997013811</v>
      </c>
      <c r="F230" s="625" t="s">
        <v>390</v>
      </c>
      <c r="G230" s="625"/>
      <c r="H230" s="625"/>
      <c r="I230" s="625"/>
      <c r="J230" s="174" t="s">
        <v>68</v>
      </c>
      <c r="K230" s="264">
        <f>Z227</f>
        <v>100.969748</v>
      </c>
      <c r="L230" s="626"/>
      <c r="M230" s="626"/>
      <c r="N230" s="619">
        <f>ROUND(L230*K230,2)</f>
        <v>0</v>
      </c>
      <c r="O230" s="619"/>
      <c r="P230" s="619"/>
      <c r="Q230" s="619"/>
      <c r="R230" s="6"/>
      <c r="T230" s="142"/>
    </row>
    <row r="231" spans="2:28" ht="13.5">
      <c r="B231" s="32"/>
      <c r="C231" s="33"/>
      <c r="D231" s="33"/>
      <c r="E231" s="33"/>
      <c r="F231" s="33"/>
      <c r="G231" s="33"/>
      <c r="H231" s="33"/>
      <c r="I231" s="33"/>
      <c r="J231" s="181"/>
      <c r="K231" s="33"/>
      <c r="L231" s="33"/>
      <c r="M231" s="33"/>
      <c r="N231" s="33"/>
      <c r="O231" s="33"/>
      <c r="P231" s="33"/>
      <c r="Q231" s="33"/>
      <c r="R231" s="34"/>
      <c r="T231" s="142"/>
      <c r="W231" s="4"/>
      <c r="X231" s="4"/>
      <c r="Y231" s="4"/>
      <c r="Z231" s="4"/>
      <c r="AA231" s="4"/>
      <c r="AB231" s="4"/>
    </row>
    <row r="232" spans="10:20" ht="13.5">
      <c r="J232" s="182"/>
      <c r="T232" s="142"/>
    </row>
    <row r="233" spans="10:20" ht="13.5">
      <c r="J233" s="182"/>
      <c r="T233" s="142"/>
    </row>
    <row r="234" spans="10:20" ht="13.5">
      <c r="J234" s="182"/>
      <c r="T234" s="142"/>
    </row>
  </sheetData>
  <mergeCells count="263">
    <mergeCell ref="L214:M214"/>
    <mergeCell ref="N214:Q214"/>
    <mergeCell ref="F216:I216"/>
    <mergeCell ref="F226:I226"/>
    <mergeCell ref="F167:I167"/>
    <mergeCell ref="L167:M167"/>
    <mergeCell ref="N167:Q167"/>
    <mergeCell ref="F168:I168"/>
    <mergeCell ref="F219:I219"/>
    <mergeCell ref="F218:I218"/>
    <mergeCell ref="N215:Q215"/>
    <mergeCell ref="L226:M226"/>
    <mergeCell ref="N226:Q226"/>
    <mergeCell ref="F187:I187"/>
    <mergeCell ref="F189:I189"/>
    <mergeCell ref="F190:I190"/>
    <mergeCell ref="F191:I191"/>
    <mergeCell ref="F192:I192"/>
    <mergeCell ref="F200:I200"/>
    <mergeCell ref="F198:I198"/>
    <mergeCell ref="F197:I197"/>
    <mergeCell ref="N197:Q197"/>
    <mergeCell ref="L223:M223"/>
    <mergeCell ref="N223:Q223"/>
    <mergeCell ref="F147:I147"/>
    <mergeCell ref="F152:I152"/>
    <mergeCell ref="L152:M152"/>
    <mergeCell ref="N152:Q152"/>
    <mergeCell ref="F153:I153"/>
    <mergeCell ref="F160:I160"/>
    <mergeCell ref="F196:I196"/>
    <mergeCell ref="F206:I206"/>
    <mergeCell ref="L206:M206"/>
    <mergeCell ref="N204:Q204"/>
    <mergeCell ref="N183:Q183"/>
    <mergeCell ref="F184:I184"/>
    <mergeCell ref="L185:M185"/>
    <mergeCell ref="F213:I213"/>
    <mergeCell ref="F214:I214"/>
    <mergeCell ref="N227:Q227"/>
    <mergeCell ref="F220:I220"/>
    <mergeCell ref="F223:I223"/>
    <mergeCell ref="F146:I146"/>
    <mergeCell ref="L146:M146"/>
    <mergeCell ref="F149:I149"/>
    <mergeCell ref="N188:Q188"/>
    <mergeCell ref="N206:Q206"/>
    <mergeCell ref="F201:I201"/>
    <mergeCell ref="F202:I202"/>
    <mergeCell ref="F217:I217"/>
    <mergeCell ref="F186:I186"/>
    <mergeCell ref="F194:I194"/>
    <mergeCell ref="N193:Q193"/>
    <mergeCell ref="F195:I195"/>
    <mergeCell ref="L195:M195"/>
    <mergeCell ref="N195:Q195"/>
    <mergeCell ref="N175:Q175"/>
    <mergeCell ref="F156:I156"/>
    <mergeCell ref="L159:M159"/>
    <mergeCell ref="F204:I204"/>
    <mergeCell ref="L204:M204"/>
    <mergeCell ref="F212:I212"/>
    <mergeCell ref="L212:M212"/>
    <mergeCell ref="N212:Q212"/>
    <mergeCell ref="L210:M210"/>
    <mergeCell ref="N210:Q210"/>
    <mergeCell ref="F211:I211"/>
    <mergeCell ref="F210:I210"/>
    <mergeCell ref="L162:M162"/>
    <mergeCell ref="N185:Q185"/>
    <mergeCell ref="N172:Q172"/>
    <mergeCell ref="F177:I177"/>
    <mergeCell ref="F181:I181"/>
    <mergeCell ref="F173:I173"/>
    <mergeCell ref="F171:I171"/>
    <mergeCell ref="F176:I176"/>
    <mergeCell ref="N162:Q162"/>
    <mergeCell ref="F185:I185"/>
    <mergeCell ref="F169:I169"/>
    <mergeCell ref="F164:I164"/>
    <mergeCell ref="L165:M165"/>
    <mergeCell ref="N165:Q165"/>
    <mergeCell ref="F166:I166"/>
    <mergeCell ref="L172:M172"/>
    <mergeCell ref="L175:M175"/>
    <mergeCell ref="F229:I229"/>
    <mergeCell ref="L229:M229"/>
    <mergeCell ref="N229:Q229"/>
    <mergeCell ref="F199:I199"/>
    <mergeCell ref="L199:M199"/>
    <mergeCell ref="N199:Q199"/>
    <mergeCell ref="L201:M201"/>
    <mergeCell ref="N201:Q201"/>
    <mergeCell ref="L218:M218"/>
    <mergeCell ref="N218:Q218"/>
    <mergeCell ref="F208:I208"/>
    <mergeCell ref="L208:M208"/>
    <mergeCell ref="N208:Q208"/>
    <mergeCell ref="F209:I209"/>
    <mergeCell ref="F215:I215"/>
    <mergeCell ref="L215:M215"/>
    <mergeCell ref="F227:I227"/>
    <mergeCell ref="F228:I228"/>
    <mergeCell ref="L228:M228"/>
    <mergeCell ref="N228:Q228"/>
    <mergeCell ref="F207:I207"/>
    <mergeCell ref="L207:M207"/>
    <mergeCell ref="N207:Q207"/>
    <mergeCell ref="F203:I203"/>
    <mergeCell ref="L227:M227"/>
    <mergeCell ref="F123:I123"/>
    <mergeCell ref="F138:I138"/>
    <mergeCell ref="L138:M138"/>
    <mergeCell ref="N138:Q138"/>
    <mergeCell ref="F139:I139"/>
    <mergeCell ref="F140:I140"/>
    <mergeCell ref="F151:I151"/>
    <mergeCell ref="F157:I157"/>
    <mergeCell ref="L157:M157"/>
    <mergeCell ref="N157:Q157"/>
    <mergeCell ref="L222:M222"/>
    <mergeCell ref="N222:Q222"/>
    <mergeCell ref="F222:I222"/>
    <mergeCell ref="F142:I142"/>
    <mergeCell ref="F205:I205"/>
    <mergeCell ref="L197:M197"/>
    <mergeCell ref="F188:I188"/>
    <mergeCell ref="L188:M188"/>
    <mergeCell ref="N146:Q146"/>
    <mergeCell ref="N169:Q169"/>
    <mergeCell ref="F170:I170"/>
    <mergeCell ref="F172:I172"/>
    <mergeCell ref="L183:M183"/>
    <mergeCell ref="F121:I121"/>
    <mergeCell ref="F135:I135"/>
    <mergeCell ref="L135:M135"/>
    <mergeCell ref="N135:Q135"/>
    <mergeCell ref="F137:I137"/>
    <mergeCell ref="F136:I136"/>
    <mergeCell ref="F174:I174"/>
    <mergeCell ref="F182:I182"/>
    <mergeCell ref="N159:Q159"/>
    <mergeCell ref="F150:I150"/>
    <mergeCell ref="F154:I154"/>
    <mergeCell ref="F163:I163"/>
    <mergeCell ref="F159:I159"/>
    <mergeCell ref="L150:M150"/>
    <mergeCell ref="N150:Q150"/>
    <mergeCell ref="F180:I180"/>
    <mergeCell ref="F175:I175"/>
    <mergeCell ref="F158:I158"/>
    <mergeCell ref="F148:I148"/>
    <mergeCell ref="F161:I161"/>
    <mergeCell ref="F165:I165"/>
    <mergeCell ref="L154:M154"/>
    <mergeCell ref="N154:Q154"/>
    <mergeCell ref="F162:I162"/>
    <mergeCell ref="N230:Q230"/>
    <mergeCell ref="L92:Q92"/>
    <mergeCell ref="M103:P103"/>
    <mergeCell ref="M105:Q105"/>
    <mergeCell ref="N113:Q113"/>
    <mergeCell ref="C98:Q98"/>
    <mergeCell ref="F100:P100"/>
    <mergeCell ref="F101:P101"/>
    <mergeCell ref="F122:I122"/>
    <mergeCell ref="N111:Q111"/>
    <mergeCell ref="N112:Q112"/>
    <mergeCell ref="F108:P108"/>
    <mergeCell ref="F114:I114"/>
    <mergeCell ref="N224:Q224"/>
    <mergeCell ref="F115:I115"/>
    <mergeCell ref="F230:I230"/>
    <mergeCell ref="L230:M230"/>
    <mergeCell ref="N221:Q221"/>
    <mergeCell ref="F224:I224"/>
    <mergeCell ref="F225:I225"/>
    <mergeCell ref="L224:M224"/>
    <mergeCell ref="L169:M169"/>
    <mergeCell ref="F144:I144"/>
    <mergeCell ref="F145:I145"/>
    <mergeCell ref="C2:Q2"/>
    <mergeCell ref="F4:P4"/>
    <mergeCell ref="F5:P5"/>
    <mergeCell ref="O7:P7"/>
    <mergeCell ref="O9:P9"/>
    <mergeCell ref="O10:P10"/>
    <mergeCell ref="O12:P12"/>
    <mergeCell ref="O13:P13"/>
    <mergeCell ref="O15:P15"/>
    <mergeCell ref="F12:I12"/>
    <mergeCell ref="O16:P16"/>
    <mergeCell ref="O18:P18"/>
    <mergeCell ref="O19:P19"/>
    <mergeCell ref="M29:P29"/>
    <mergeCell ref="M31:P31"/>
    <mergeCell ref="N89:Q89"/>
    <mergeCell ref="M81:Q81"/>
    <mergeCell ref="M82:Q82"/>
    <mergeCell ref="G26:P26"/>
    <mergeCell ref="H33:J33"/>
    <mergeCell ref="M79:P79"/>
    <mergeCell ref="C74:Q74"/>
    <mergeCell ref="D26:E26"/>
    <mergeCell ref="D25:E25"/>
    <mergeCell ref="G25:P25"/>
    <mergeCell ref="L36:P36"/>
    <mergeCell ref="H34:J34"/>
    <mergeCell ref="F77:P77"/>
    <mergeCell ref="M33:P33"/>
    <mergeCell ref="F76:P76"/>
    <mergeCell ref="C84:G84"/>
    <mergeCell ref="N84:Q84"/>
    <mergeCell ref="M34:P34"/>
    <mergeCell ref="N86:Q86"/>
    <mergeCell ref="N87:Q87"/>
    <mergeCell ref="N88:Q88"/>
    <mergeCell ref="N90:Q90"/>
    <mergeCell ref="F193:I193"/>
    <mergeCell ref="L193:M193"/>
    <mergeCell ref="L114:M114"/>
    <mergeCell ref="N114:Q114"/>
    <mergeCell ref="N116:Q116"/>
    <mergeCell ref="F155:I155"/>
    <mergeCell ref="L117:M117"/>
    <mergeCell ref="F117:I117"/>
    <mergeCell ref="L179:M179"/>
    <mergeCell ref="N179:Q179"/>
    <mergeCell ref="F119:I119"/>
    <mergeCell ref="F120:I120"/>
    <mergeCell ref="F143:I143"/>
    <mergeCell ref="L143:M143"/>
    <mergeCell ref="N143:Q143"/>
    <mergeCell ref="L121:M121"/>
    <mergeCell ref="N121:Q121"/>
    <mergeCell ref="F118:I118"/>
    <mergeCell ref="F179:I179"/>
    <mergeCell ref="F178:I178"/>
    <mergeCell ref="F183:I183"/>
    <mergeCell ref="O21:P21"/>
    <mergeCell ref="E22:P22"/>
    <mergeCell ref="N117:Q117"/>
    <mergeCell ref="F107:P107"/>
    <mergeCell ref="M106:Q106"/>
    <mergeCell ref="F110:I110"/>
    <mergeCell ref="L110:M110"/>
    <mergeCell ref="N110:Q110"/>
    <mergeCell ref="F141:I141"/>
    <mergeCell ref="L141:M141"/>
    <mergeCell ref="N141:Q141"/>
    <mergeCell ref="F124:I124"/>
    <mergeCell ref="L124:M124"/>
    <mergeCell ref="N124:Q124"/>
    <mergeCell ref="F125:I125"/>
    <mergeCell ref="F126:I126"/>
    <mergeCell ref="F130:I130"/>
    <mergeCell ref="F132:I132"/>
    <mergeCell ref="F134:I134"/>
    <mergeCell ref="F131:I131"/>
    <mergeCell ref="F133:I133"/>
    <mergeCell ref="F127:I127"/>
    <mergeCell ref="F129:I129"/>
    <mergeCell ref="F128:I12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headerFooter>
    <oddHeader>&amp;LBD Hübnerové&amp;ROdhad stavebních nákladů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54"/>
  <sheetViews>
    <sheetView showGridLines="0" view="pageBreakPreview" zoomScaleSheetLayoutView="100" workbookViewId="0" topLeftCell="A1">
      <pane ySplit="1" topLeftCell="A2" activePane="bottomLeft" state="frozen"/>
      <selection pane="topLeft" activeCell="F118" sqref="F118:I118"/>
      <selection pane="bottomLeft" activeCell="F5" sqref="F5:P5"/>
    </sheetView>
  </sheetViews>
  <sheetFormatPr defaultColWidth="9.33203125" defaultRowHeight="13.5" outlineLevelRow="1" outlineLevelCol="1"/>
  <cols>
    <col min="1" max="1" width="8.33203125" style="4" customWidth="1"/>
    <col min="2" max="2" width="1.66796875" style="4" customWidth="1"/>
    <col min="3" max="3" width="4.16015625" style="4" customWidth="1"/>
    <col min="4" max="4" width="4.33203125" style="4" customWidth="1"/>
    <col min="5" max="5" width="22.33203125" style="4" customWidth="1"/>
    <col min="6" max="6" width="13.83203125" style="4" customWidth="1"/>
    <col min="7" max="7" width="11.16015625" style="4" customWidth="1"/>
    <col min="8" max="8" width="12.5" style="4" customWidth="1"/>
    <col min="9" max="9" width="34.33203125" style="4" customWidth="1"/>
    <col min="10" max="10" width="8" style="183" customWidth="1"/>
    <col min="11" max="11" width="15.5" style="4" customWidth="1"/>
    <col min="12" max="12" width="12" style="4" customWidth="1"/>
    <col min="13" max="13" width="7.5" style="4" customWidth="1"/>
    <col min="14" max="14" width="6" style="4" customWidth="1"/>
    <col min="15" max="15" width="2" style="4" customWidth="1"/>
    <col min="16" max="16" width="12.5" style="4" customWidth="1"/>
    <col min="17" max="17" width="4.16015625" style="4" customWidth="1"/>
    <col min="18" max="18" width="1.66796875" style="4" customWidth="1"/>
    <col min="19" max="19" width="2" style="4" customWidth="1"/>
    <col min="20" max="20" width="25.33203125" style="129" hidden="1" customWidth="1" outlineLevel="1"/>
    <col min="21" max="28" width="9.33203125" style="177" hidden="1" customWidth="1" outlineLevel="1"/>
    <col min="29" max="29" width="34.66015625" style="248" customWidth="1" collapsed="1"/>
    <col min="30" max="16384" width="9.33203125" style="4" customWidth="1"/>
  </cols>
  <sheetData>
    <row r="1" spans="2:18" ht="13.5">
      <c r="B1" s="1"/>
      <c r="C1" s="2"/>
      <c r="D1" s="2"/>
      <c r="E1" s="2"/>
      <c r="F1" s="2"/>
      <c r="G1" s="2"/>
      <c r="H1" s="2"/>
      <c r="I1" s="2"/>
      <c r="J1" s="144"/>
      <c r="K1" s="2"/>
      <c r="L1" s="2"/>
      <c r="M1" s="2"/>
      <c r="N1" s="2"/>
      <c r="O1" s="2"/>
      <c r="P1" s="2"/>
      <c r="Q1" s="2"/>
      <c r="R1" s="3"/>
    </row>
    <row r="2" spans="2:18" ht="20.25">
      <c r="B2" s="5"/>
      <c r="C2" s="596" t="s">
        <v>38</v>
      </c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6"/>
    </row>
    <row r="3" spans="2:18" ht="13.5">
      <c r="B3" s="5"/>
      <c r="J3" s="145"/>
      <c r="R3" s="6"/>
    </row>
    <row r="4" spans="2:18" ht="12">
      <c r="B4" s="5"/>
      <c r="D4" s="7" t="s">
        <v>3</v>
      </c>
      <c r="F4" s="620" t="str">
        <f>Rekapitulace!K4</f>
        <v>Stavební úpravy, vestavba a přístavba stávajícího objektu</v>
      </c>
      <c r="G4" s="621"/>
      <c r="H4" s="621"/>
      <c r="I4" s="621"/>
      <c r="J4" s="621"/>
      <c r="K4" s="621"/>
      <c r="L4" s="621"/>
      <c r="M4" s="621"/>
      <c r="N4" s="621"/>
      <c r="O4" s="621"/>
      <c r="P4" s="621"/>
      <c r="R4" s="6"/>
    </row>
    <row r="5" spans="2:18" ht="15.75">
      <c r="B5" s="5"/>
      <c r="D5" s="8" t="s">
        <v>39</v>
      </c>
      <c r="F5" s="590" t="s">
        <v>637</v>
      </c>
      <c r="G5" s="603"/>
      <c r="H5" s="603"/>
      <c r="I5" s="603"/>
      <c r="J5" s="603"/>
      <c r="K5" s="603"/>
      <c r="L5" s="603"/>
      <c r="M5" s="603"/>
      <c r="N5" s="603"/>
      <c r="O5" s="603"/>
      <c r="P5" s="603"/>
      <c r="R5" s="6"/>
    </row>
    <row r="6" spans="2:18" ht="12">
      <c r="B6" s="5"/>
      <c r="D6" s="7" t="s">
        <v>4</v>
      </c>
      <c r="F6" s="9" t="s">
        <v>0</v>
      </c>
      <c r="J6" s="145"/>
      <c r="M6" s="7" t="s">
        <v>5</v>
      </c>
      <c r="O6" s="9" t="s">
        <v>0</v>
      </c>
      <c r="R6" s="6"/>
    </row>
    <row r="7" spans="2:18" ht="12">
      <c r="B7" s="5"/>
      <c r="D7" s="7" t="s">
        <v>6</v>
      </c>
      <c r="F7" s="9" t="str">
        <f>Rekapitulace!I81</f>
        <v>Mírové náměstí 23/12, Bílina - p.č. 124, 125/1, 125/2, 125/3, k.ú. Bílina (604208)</v>
      </c>
      <c r="J7" s="145"/>
      <c r="M7" s="7" t="s">
        <v>7</v>
      </c>
      <c r="O7" s="616">
        <f>Rekapitulace!AN6</f>
        <v>0</v>
      </c>
      <c r="P7" s="616"/>
      <c r="R7" s="6"/>
    </row>
    <row r="8" spans="2:18" ht="13.5">
      <c r="B8" s="5"/>
      <c r="J8" s="145"/>
      <c r="R8" s="6"/>
    </row>
    <row r="9" spans="2:18" ht="12">
      <c r="B9" s="5"/>
      <c r="D9" s="7" t="s">
        <v>8</v>
      </c>
      <c r="F9" s="4" t="str">
        <f>Rekapitulace!K8</f>
        <v>město Bílina</v>
      </c>
      <c r="J9" s="145"/>
      <c r="M9" s="7" t="s">
        <v>9</v>
      </c>
      <c r="O9" s="591" t="s">
        <v>0</v>
      </c>
      <c r="P9" s="591"/>
      <c r="R9" s="6"/>
    </row>
    <row r="10" spans="2:18" ht="12">
      <c r="B10" s="5"/>
      <c r="E10" s="9"/>
      <c r="J10" s="145"/>
      <c r="M10" s="7" t="s">
        <v>10</v>
      </c>
      <c r="O10" s="591" t="s">
        <v>0</v>
      </c>
      <c r="P10" s="591"/>
      <c r="R10" s="6"/>
    </row>
    <row r="11" spans="2:18" ht="13.5">
      <c r="B11" s="5"/>
      <c r="J11" s="145"/>
      <c r="R11" s="6"/>
    </row>
    <row r="12" spans="2:18" ht="12">
      <c r="B12" s="5"/>
      <c r="D12" s="7" t="s">
        <v>11</v>
      </c>
      <c r="F12" s="635">
        <f>Rekapitulace!K11</f>
        <v>0</v>
      </c>
      <c r="G12" s="635"/>
      <c r="H12" s="635"/>
      <c r="I12" s="635"/>
      <c r="J12" s="145"/>
      <c r="M12" s="7" t="s">
        <v>9</v>
      </c>
      <c r="O12" s="591" t="str">
        <f>IF(Rekapitulace!AN11="","",Rekapitulace!AN11)</f>
        <v/>
      </c>
      <c r="P12" s="591"/>
      <c r="R12" s="6"/>
    </row>
    <row r="13" spans="2:18" ht="12">
      <c r="B13" s="5"/>
      <c r="E13" s="9" t="str">
        <f>IF(Rekapitulace!E12="","",Rekapitulace!E12)</f>
        <v xml:space="preserve"> </v>
      </c>
      <c r="J13" s="145"/>
      <c r="M13" s="7" t="s">
        <v>10</v>
      </c>
      <c r="O13" s="591" t="str">
        <f>IF(Rekapitulace!AN12="","",Rekapitulace!AN12)</f>
        <v/>
      </c>
      <c r="P13" s="591"/>
      <c r="R13" s="6"/>
    </row>
    <row r="14" spans="2:18" ht="13.5">
      <c r="B14" s="5"/>
      <c r="J14" s="145"/>
      <c r="R14" s="6"/>
    </row>
    <row r="15" spans="2:18" ht="12">
      <c r="B15" s="5"/>
      <c r="D15" s="7" t="s">
        <v>13</v>
      </c>
      <c r="J15" s="145"/>
      <c r="M15" s="7" t="s">
        <v>9</v>
      </c>
      <c r="O15" s="591" t="s">
        <v>0</v>
      </c>
      <c r="P15" s="591"/>
      <c r="R15" s="6"/>
    </row>
    <row r="16" spans="2:18" ht="12">
      <c r="B16" s="5"/>
      <c r="E16" s="9" t="str">
        <f>Rekapitulace!E15</f>
        <v>Ing. arch. Bořek Peška</v>
      </c>
      <c r="J16" s="145"/>
      <c r="M16" s="7" t="s">
        <v>10</v>
      </c>
      <c r="O16" s="591" t="s">
        <v>0</v>
      </c>
      <c r="P16" s="591"/>
      <c r="R16" s="6"/>
    </row>
    <row r="17" spans="2:18" ht="13.5">
      <c r="B17" s="5"/>
      <c r="J17" s="145"/>
      <c r="R17" s="6"/>
    </row>
    <row r="18" spans="2:18" ht="12">
      <c r="B18" s="5"/>
      <c r="D18" s="7" t="s">
        <v>14</v>
      </c>
      <c r="J18" s="145"/>
      <c r="M18" s="7" t="s">
        <v>9</v>
      </c>
      <c r="O18" s="591" t="s">
        <v>0</v>
      </c>
      <c r="P18" s="591"/>
      <c r="R18" s="6"/>
    </row>
    <row r="19" spans="2:18" ht="12">
      <c r="B19" s="5"/>
      <c r="E19" s="9" t="str">
        <f>Rekapitulace!E18</f>
        <v>Jakub Kulhavý</v>
      </c>
      <c r="J19" s="145"/>
      <c r="M19" s="7" t="s">
        <v>10</v>
      </c>
      <c r="O19" s="591" t="s">
        <v>0</v>
      </c>
      <c r="P19" s="591"/>
      <c r="R19" s="6"/>
    </row>
    <row r="20" spans="2:18" ht="13.5">
      <c r="B20" s="5"/>
      <c r="J20" s="145"/>
      <c r="R20" s="6"/>
    </row>
    <row r="21" spans="2:18" ht="12">
      <c r="B21" s="5"/>
      <c r="D21" s="7" t="s">
        <v>193</v>
      </c>
      <c r="J21" s="145"/>
      <c r="M21" s="7"/>
      <c r="O21" s="591" t="s">
        <v>0</v>
      </c>
      <c r="P21" s="591"/>
      <c r="R21" s="6"/>
    </row>
    <row r="22" spans="2:18" ht="12">
      <c r="B22" s="5"/>
      <c r="E22" s="591" t="str">
        <f>Rekapitulace!E21</f>
        <v>projektové dokumentace ve stupni DPS z 04/2023</v>
      </c>
      <c r="F22" s="591"/>
      <c r="G22" s="591"/>
      <c r="H22" s="591"/>
      <c r="I22" s="591"/>
      <c r="J22" s="591"/>
      <c r="K22" s="591"/>
      <c r="L22" s="591"/>
      <c r="M22" s="591"/>
      <c r="N22" s="591"/>
      <c r="O22" s="591"/>
      <c r="P22" s="591"/>
      <c r="R22" s="6"/>
    </row>
    <row r="23" spans="2:18" ht="13.5">
      <c r="B23" s="5"/>
      <c r="J23" s="145"/>
      <c r="R23" s="6"/>
    </row>
    <row r="24" spans="2:18" ht="12">
      <c r="B24" s="5"/>
      <c r="D24" s="7" t="s">
        <v>96</v>
      </c>
      <c r="J24" s="145"/>
      <c r="R24" s="6"/>
    </row>
    <row r="25" spans="2:29" s="238" customFormat="1" ht="12">
      <c r="B25" s="237"/>
      <c r="D25" s="636"/>
      <c r="E25" s="636"/>
      <c r="F25" s="392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R25" s="239"/>
      <c r="T25" s="393"/>
      <c r="AC25" s="394"/>
    </row>
    <row r="26" spans="2:21" ht="12">
      <c r="B26" s="5"/>
      <c r="D26" s="635"/>
      <c r="E26" s="635"/>
      <c r="F26" s="19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R26" s="6"/>
      <c r="T26" s="199"/>
      <c r="U26" s="4"/>
    </row>
    <row r="27" spans="2:18" ht="13.5">
      <c r="B27" s="5"/>
      <c r="J27" s="145"/>
      <c r="R27" s="6"/>
    </row>
    <row r="28" spans="2:18" ht="13.5">
      <c r="B28" s="5"/>
      <c r="D28" s="24"/>
      <c r="E28" s="24"/>
      <c r="F28" s="24"/>
      <c r="G28" s="24"/>
      <c r="H28" s="24"/>
      <c r="I28" s="24"/>
      <c r="J28" s="146"/>
      <c r="K28" s="24"/>
      <c r="L28" s="24"/>
      <c r="M28" s="24"/>
      <c r="N28" s="24"/>
      <c r="O28" s="24"/>
      <c r="P28" s="24"/>
      <c r="R28" s="6"/>
    </row>
    <row r="29" spans="2:18" ht="12.75">
      <c r="B29" s="5"/>
      <c r="D29" s="147" t="s">
        <v>40</v>
      </c>
      <c r="J29" s="145"/>
      <c r="M29" s="611">
        <f>N86</f>
        <v>0</v>
      </c>
      <c r="N29" s="611"/>
      <c r="O29" s="611"/>
      <c r="P29" s="611"/>
      <c r="R29" s="6"/>
    </row>
    <row r="30" spans="2:18" ht="13.5">
      <c r="B30" s="5"/>
      <c r="J30" s="145"/>
      <c r="R30" s="6"/>
    </row>
    <row r="31" spans="2:18" ht="12.75">
      <c r="B31" s="5"/>
      <c r="D31" s="148" t="s">
        <v>16</v>
      </c>
      <c r="J31" s="145"/>
      <c r="M31" s="634">
        <f>ROUND(M29,2)</f>
        <v>0</v>
      </c>
      <c r="N31" s="603"/>
      <c r="O31" s="603"/>
      <c r="P31" s="603"/>
      <c r="R31" s="6"/>
    </row>
    <row r="32" spans="2:18" ht="13.5">
      <c r="B32" s="5"/>
      <c r="D32" s="24"/>
      <c r="E32" s="24"/>
      <c r="F32" s="24"/>
      <c r="G32" s="24"/>
      <c r="H32" s="24"/>
      <c r="I32" s="24"/>
      <c r="J32" s="146"/>
      <c r="K32" s="24"/>
      <c r="L32" s="24"/>
      <c r="M32" s="24"/>
      <c r="N32" s="24"/>
      <c r="O32" s="24"/>
      <c r="P32" s="24"/>
      <c r="R32" s="6"/>
    </row>
    <row r="33" spans="2:18" ht="13.5">
      <c r="B33" s="5"/>
      <c r="D33" s="16" t="s">
        <v>17</v>
      </c>
      <c r="E33" s="16" t="s">
        <v>18</v>
      </c>
      <c r="F33" s="149">
        <v>0.21</v>
      </c>
      <c r="G33" s="150" t="s">
        <v>19</v>
      </c>
      <c r="H33" s="587">
        <f>ROUND(M31,2)</f>
        <v>0</v>
      </c>
      <c r="I33" s="603"/>
      <c r="J33" s="603"/>
      <c r="M33" s="640">
        <f>ROUND(H33*F33,2)</f>
        <v>0</v>
      </c>
      <c r="N33" s="603"/>
      <c r="O33" s="603"/>
      <c r="P33" s="603"/>
      <c r="R33" s="6"/>
    </row>
    <row r="34" spans="2:18" ht="13.5">
      <c r="B34" s="5"/>
      <c r="E34" s="16" t="s">
        <v>20</v>
      </c>
      <c r="F34" s="149">
        <v>0.15</v>
      </c>
      <c r="G34" s="150" t="s">
        <v>19</v>
      </c>
      <c r="H34" s="587">
        <v>0</v>
      </c>
      <c r="I34" s="603"/>
      <c r="J34" s="603"/>
      <c r="M34" s="640">
        <f>ROUND(H34*F34,2)</f>
        <v>0</v>
      </c>
      <c r="N34" s="603"/>
      <c r="O34" s="603"/>
      <c r="P34" s="603"/>
      <c r="R34" s="6"/>
    </row>
    <row r="35" spans="2:18" ht="13.5">
      <c r="B35" s="5"/>
      <c r="J35" s="145"/>
      <c r="R35" s="6"/>
    </row>
    <row r="36" spans="2:18" ht="15.75">
      <c r="B36" s="5"/>
      <c r="C36" s="50"/>
      <c r="D36" s="151" t="s">
        <v>24</v>
      </c>
      <c r="E36" s="41"/>
      <c r="F36" s="41"/>
      <c r="G36" s="152" t="s">
        <v>25</v>
      </c>
      <c r="H36" s="153" t="s">
        <v>26</v>
      </c>
      <c r="I36" s="41"/>
      <c r="J36" s="154"/>
      <c r="K36" s="41"/>
      <c r="L36" s="638">
        <f>SUM(M31:M34)</f>
        <v>0</v>
      </c>
      <c r="M36" s="638"/>
      <c r="N36" s="638"/>
      <c r="O36" s="638"/>
      <c r="P36" s="639"/>
      <c r="Q36" s="50"/>
      <c r="R36" s="6"/>
    </row>
    <row r="37" spans="2:18" ht="13.5">
      <c r="B37" s="5"/>
      <c r="J37" s="145"/>
      <c r="R37" s="6"/>
    </row>
    <row r="38" spans="2:18" ht="13.5">
      <c r="B38" s="5"/>
      <c r="J38" s="145"/>
      <c r="R38" s="6"/>
    </row>
    <row r="39" spans="2:18" ht="13.5">
      <c r="B39" s="5"/>
      <c r="J39" s="145"/>
      <c r="R39" s="6"/>
    </row>
    <row r="40" spans="2:18" ht="13.5">
      <c r="B40" s="5"/>
      <c r="J40" s="145"/>
      <c r="R40" s="6"/>
    </row>
    <row r="41" spans="2:18" ht="13.5">
      <c r="B41" s="5"/>
      <c r="J41" s="145"/>
      <c r="R41" s="6"/>
    </row>
    <row r="42" spans="2:18" ht="13.5">
      <c r="B42" s="5"/>
      <c r="J42" s="145"/>
      <c r="R42" s="6"/>
    </row>
    <row r="43" spans="2:18" ht="13.5">
      <c r="B43" s="5"/>
      <c r="J43" s="145"/>
      <c r="R43" s="6"/>
    </row>
    <row r="44" spans="2:18" ht="13.5">
      <c r="B44" s="5"/>
      <c r="J44" s="145"/>
      <c r="R44" s="6"/>
    </row>
    <row r="45" spans="2:18" ht="13.5">
      <c r="B45" s="5"/>
      <c r="J45" s="145"/>
      <c r="R45" s="6"/>
    </row>
    <row r="46" spans="2:18" ht="13.5">
      <c r="B46" s="5"/>
      <c r="J46" s="145"/>
      <c r="R46" s="6"/>
    </row>
    <row r="47" spans="2:18" ht="13.5">
      <c r="B47" s="5"/>
      <c r="J47" s="145"/>
      <c r="R47" s="6"/>
    </row>
    <row r="48" spans="2:18" ht="12.75">
      <c r="B48" s="5"/>
      <c r="D48" s="23" t="s">
        <v>27</v>
      </c>
      <c r="E48" s="24"/>
      <c r="F48" s="24"/>
      <c r="G48" s="24"/>
      <c r="H48" s="25"/>
      <c r="J48" s="155" t="s">
        <v>28</v>
      </c>
      <c r="K48" s="24"/>
      <c r="L48" s="24"/>
      <c r="M48" s="24"/>
      <c r="N48" s="24"/>
      <c r="O48" s="24"/>
      <c r="P48" s="25"/>
      <c r="R48" s="6"/>
    </row>
    <row r="49" spans="2:18" ht="13.5">
      <c r="B49" s="5"/>
      <c r="D49" s="26"/>
      <c r="H49" s="27"/>
      <c r="J49" s="156"/>
      <c r="P49" s="27"/>
      <c r="R49" s="6"/>
    </row>
    <row r="50" spans="2:18" ht="13.5">
      <c r="B50" s="5"/>
      <c r="D50" s="26"/>
      <c r="H50" s="27"/>
      <c r="J50" s="156"/>
      <c r="P50" s="27"/>
      <c r="R50" s="6"/>
    </row>
    <row r="51" spans="2:18" ht="13.5">
      <c r="B51" s="5"/>
      <c r="D51" s="26"/>
      <c r="H51" s="27"/>
      <c r="J51" s="156"/>
      <c r="P51" s="27"/>
      <c r="R51" s="6"/>
    </row>
    <row r="52" spans="2:18" ht="13.5">
      <c r="B52" s="5"/>
      <c r="D52" s="26"/>
      <c r="H52" s="27"/>
      <c r="J52" s="156"/>
      <c r="P52" s="27"/>
      <c r="R52" s="6"/>
    </row>
    <row r="53" spans="2:18" ht="13.5">
      <c r="B53" s="5"/>
      <c r="D53" s="26"/>
      <c r="H53" s="27"/>
      <c r="J53" s="156"/>
      <c r="P53" s="27"/>
      <c r="R53" s="6"/>
    </row>
    <row r="54" spans="2:18" ht="13.5">
      <c r="B54" s="5"/>
      <c r="D54" s="26"/>
      <c r="H54" s="27"/>
      <c r="J54" s="156"/>
      <c r="P54" s="27"/>
      <c r="R54" s="6"/>
    </row>
    <row r="55" spans="2:18" ht="13.5">
      <c r="B55" s="5"/>
      <c r="D55" s="26"/>
      <c r="H55" s="27"/>
      <c r="J55" s="156"/>
      <c r="P55" s="27"/>
      <c r="R55" s="6"/>
    </row>
    <row r="56" spans="2:18" ht="13.5">
      <c r="B56" s="5"/>
      <c r="D56" s="26"/>
      <c r="H56" s="27"/>
      <c r="J56" s="156"/>
      <c r="P56" s="27"/>
      <c r="R56" s="6"/>
    </row>
    <row r="57" spans="2:18" ht="12.75">
      <c r="B57" s="5"/>
      <c r="D57" s="28" t="s">
        <v>29</v>
      </c>
      <c r="E57" s="29"/>
      <c r="F57" s="29"/>
      <c r="G57" s="30" t="s">
        <v>30</v>
      </c>
      <c r="H57" s="31"/>
      <c r="J57" s="157" t="s">
        <v>29</v>
      </c>
      <c r="K57" s="29"/>
      <c r="L57" s="29"/>
      <c r="M57" s="29"/>
      <c r="N57" s="30" t="s">
        <v>30</v>
      </c>
      <c r="O57" s="29"/>
      <c r="P57" s="31"/>
      <c r="R57" s="6"/>
    </row>
    <row r="58" spans="2:18" ht="13.5">
      <c r="B58" s="5"/>
      <c r="J58" s="145"/>
      <c r="R58" s="6"/>
    </row>
    <row r="59" spans="2:18" ht="12.75">
      <c r="B59" s="5"/>
      <c r="D59" s="23" t="s">
        <v>31</v>
      </c>
      <c r="E59" s="24"/>
      <c r="F59" s="24"/>
      <c r="G59" s="24"/>
      <c r="H59" s="25"/>
      <c r="J59" s="155" t="s">
        <v>32</v>
      </c>
      <c r="K59" s="24"/>
      <c r="L59" s="24"/>
      <c r="M59" s="24"/>
      <c r="N59" s="24"/>
      <c r="O59" s="24"/>
      <c r="P59" s="25"/>
      <c r="R59" s="6"/>
    </row>
    <row r="60" spans="2:18" ht="13.5">
      <c r="B60" s="5"/>
      <c r="D60" s="26"/>
      <c r="H60" s="27"/>
      <c r="J60" s="156"/>
      <c r="P60" s="27"/>
      <c r="R60" s="6"/>
    </row>
    <row r="61" spans="2:18" ht="13.5">
      <c r="B61" s="5"/>
      <c r="D61" s="26"/>
      <c r="H61" s="27"/>
      <c r="J61" s="156"/>
      <c r="P61" s="27"/>
      <c r="R61" s="6"/>
    </row>
    <row r="62" spans="2:18" ht="13.5">
      <c r="B62" s="5"/>
      <c r="D62" s="26"/>
      <c r="H62" s="27"/>
      <c r="J62" s="156"/>
      <c r="P62" s="27"/>
      <c r="R62" s="6"/>
    </row>
    <row r="63" spans="2:18" ht="13.5">
      <c r="B63" s="5"/>
      <c r="D63" s="26"/>
      <c r="H63" s="27"/>
      <c r="J63" s="156"/>
      <c r="P63" s="27"/>
      <c r="R63" s="6"/>
    </row>
    <row r="64" spans="2:18" ht="13.5">
      <c r="B64" s="5"/>
      <c r="D64" s="26"/>
      <c r="H64" s="27"/>
      <c r="J64" s="156"/>
      <c r="P64" s="27"/>
      <c r="R64" s="6"/>
    </row>
    <row r="65" spans="2:18" ht="13.5">
      <c r="B65" s="5"/>
      <c r="D65" s="26"/>
      <c r="H65" s="27"/>
      <c r="J65" s="156"/>
      <c r="P65" s="27"/>
      <c r="R65" s="6"/>
    </row>
    <row r="66" spans="2:18" ht="13.5">
      <c r="B66" s="5"/>
      <c r="D66" s="26"/>
      <c r="H66" s="27"/>
      <c r="J66" s="156"/>
      <c r="P66" s="27"/>
      <c r="R66" s="6"/>
    </row>
    <row r="67" spans="2:18" ht="13.5">
      <c r="B67" s="5"/>
      <c r="D67" s="26"/>
      <c r="H67" s="27"/>
      <c r="J67" s="156"/>
      <c r="P67" s="27"/>
      <c r="R67" s="6"/>
    </row>
    <row r="68" spans="2:18" ht="12.75">
      <c r="B68" s="5"/>
      <c r="D68" s="28" t="s">
        <v>29</v>
      </c>
      <c r="E68" s="29"/>
      <c r="F68" s="29"/>
      <c r="G68" s="30" t="s">
        <v>30</v>
      </c>
      <c r="H68" s="31"/>
      <c r="J68" s="157" t="s">
        <v>29</v>
      </c>
      <c r="K68" s="29"/>
      <c r="L68" s="29"/>
      <c r="M68" s="29"/>
      <c r="N68" s="30" t="s">
        <v>30</v>
      </c>
      <c r="O68" s="29"/>
      <c r="P68" s="31"/>
      <c r="R68" s="6"/>
    </row>
    <row r="69" spans="2:18" ht="13.5">
      <c r="B69" s="32"/>
      <c r="C69" s="33"/>
      <c r="D69" s="33"/>
      <c r="E69" s="33"/>
      <c r="F69" s="33"/>
      <c r="G69" s="33"/>
      <c r="H69" s="33"/>
      <c r="I69" s="33"/>
      <c r="J69" s="158"/>
      <c r="K69" s="33"/>
      <c r="L69" s="33"/>
      <c r="M69" s="33"/>
      <c r="N69" s="33"/>
      <c r="O69" s="33"/>
      <c r="P69" s="33"/>
      <c r="Q69" s="33"/>
      <c r="R69" s="34"/>
    </row>
    <row r="73" spans="2:18" ht="13.5">
      <c r="B73" s="1"/>
      <c r="C73" s="2"/>
      <c r="D73" s="2"/>
      <c r="E73" s="2"/>
      <c r="F73" s="2"/>
      <c r="G73" s="2"/>
      <c r="H73" s="2"/>
      <c r="I73" s="2"/>
      <c r="J73" s="144"/>
      <c r="K73" s="2"/>
      <c r="L73" s="2"/>
      <c r="M73" s="2"/>
      <c r="N73" s="2"/>
      <c r="O73" s="2"/>
      <c r="P73" s="2"/>
      <c r="Q73" s="2"/>
      <c r="R73" s="3"/>
    </row>
    <row r="74" spans="2:18" ht="20.25">
      <c r="B74" s="5"/>
      <c r="C74" s="596" t="s">
        <v>41</v>
      </c>
      <c r="D74" s="597"/>
      <c r="E74" s="597"/>
      <c r="F74" s="597"/>
      <c r="G74" s="597"/>
      <c r="H74" s="597"/>
      <c r="I74" s="597"/>
      <c r="J74" s="597"/>
      <c r="K74" s="597"/>
      <c r="L74" s="597"/>
      <c r="M74" s="597"/>
      <c r="N74" s="597"/>
      <c r="O74" s="597"/>
      <c r="P74" s="597"/>
      <c r="Q74" s="597"/>
      <c r="R74" s="6"/>
    </row>
    <row r="75" spans="2:18" ht="13.5">
      <c r="B75" s="5"/>
      <c r="J75" s="145"/>
      <c r="R75" s="6"/>
    </row>
    <row r="76" spans="2:18" ht="12">
      <c r="B76" s="5"/>
      <c r="C76" s="7" t="s">
        <v>3</v>
      </c>
      <c r="F76" s="620" t="str">
        <f>F4</f>
        <v>Stavební úpravy, vestavba a přístavba stávajícího objektu</v>
      </c>
      <c r="G76" s="621"/>
      <c r="H76" s="621"/>
      <c r="I76" s="621"/>
      <c r="J76" s="621"/>
      <c r="K76" s="621"/>
      <c r="L76" s="621"/>
      <c r="M76" s="621"/>
      <c r="N76" s="621"/>
      <c r="O76" s="621"/>
      <c r="P76" s="621"/>
      <c r="R76" s="6"/>
    </row>
    <row r="77" spans="2:18" ht="15.75">
      <c r="B77" s="5"/>
      <c r="C77" s="8" t="s">
        <v>39</v>
      </c>
      <c r="F77" s="590" t="str">
        <f>F5</f>
        <v>Sanace</v>
      </c>
      <c r="G77" s="603"/>
      <c r="H77" s="603"/>
      <c r="I77" s="603"/>
      <c r="J77" s="603"/>
      <c r="K77" s="603"/>
      <c r="L77" s="603"/>
      <c r="M77" s="603"/>
      <c r="N77" s="603"/>
      <c r="O77" s="603"/>
      <c r="P77" s="603"/>
      <c r="R77" s="6"/>
    </row>
    <row r="78" spans="2:18" ht="13.5">
      <c r="B78" s="5"/>
      <c r="J78" s="145"/>
      <c r="R78" s="6"/>
    </row>
    <row r="79" spans="2:18" ht="12">
      <c r="B79" s="5"/>
      <c r="C79" s="7" t="s">
        <v>6</v>
      </c>
      <c r="F79" s="9" t="str">
        <f>F7</f>
        <v>Mírové náměstí 23/12, Bílina - p.č. 124, 125/1, 125/2, 125/3, k.ú. Bílina (604208)</v>
      </c>
      <c r="J79" s="145"/>
      <c r="K79" s="7" t="s">
        <v>7</v>
      </c>
      <c r="M79" s="616">
        <f>IF(O7="","",O7)</f>
        <v>0</v>
      </c>
      <c r="N79" s="616"/>
      <c r="O79" s="616"/>
      <c r="P79" s="616"/>
      <c r="R79" s="6"/>
    </row>
    <row r="80" spans="2:18" ht="13.5">
      <c r="B80" s="5"/>
      <c r="J80" s="145"/>
      <c r="R80" s="6"/>
    </row>
    <row r="81" spans="2:18" ht="12">
      <c r="B81" s="5"/>
      <c r="C81" s="7" t="s">
        <v>8</v>
      </c>
      <c r="F81" s="9" t="str">
        <f>F9</f>
        <v>město Bílina</v>
      </c>
      <c r="J81" s="145"/>
      <c r="K81" s="7" t="s">
        <v>13</v>
      </c>
      <c r="M81" s="591" t="str">
        <f>E16</f>
        <v>Ing. arch. Bořek Peška</v>
      </c>
      <c r="N81" s="591"/>
      <c r="O81" s="591"/>
      <c r="P81" s="591"/>
      <c r="Q81" s="591"/>
      <c r="R81" s="6"/>
    </row>
    <row r="82" spans="2:18" ht="12">
      <c r="B82" s="5"/>
      <c r="C82" s="7" t="s">
        <v>11</v>
      </c>
      <c r="F82" s="9">
        <f>F12</f>
        <v>0</v>
      </c>
      <c r="J82" s="145"/>
      <c r="K82" s="7" t="s">
        <v>14</v>
      </c>
      <c r="M82" s="591" t="str">
        <f>E19</f>
        <v>Jakub Kulhavý</v>
      </c>
      <c r="N82" s="591"/>
      <c r="O82" s="591"/>
      <c r="P82" s="591"/>
      <c r="Q82" s="591"/>
      <c r="R82" s="6"/>
    </row>
    <row r="83" spans="2:18" ht="13.5">
      <c r="B83" s="5"/>
      <c r="J83" s="145"/>
      <c r="R83" s="6"/>
    </row>
    <row r="84" spans="2:18" ht="12">
      <c r="B84" s="5"/>
      <c r="C84" s="641" t="s">
        <v>42</v>
      </c>
      <c r="D84" s="642"/>
      <c r="E84" s="642"/>
      <c r="F84" s="642"/>
      <c r="G84" s="642"/>
      <c r="H84" s="50" t="s">
        <v>205</v>
      </c>
      <c r="I84" s="311">
        <f>Rekapitulace!AS88</f>
        <v>834.4299999999998</v>
      </c>
      <c r="J84" s="159"/>
      <c r="K84" s="50" t="s">
        <v>204</v>
      </c>
      <c r="L84" s="50"/>
      <c r="M84" s="50"/>
      <c r="N84" s="641" t="s">
        <v>43</v>
      </c>
      <c r="O84" s="642"/>
      <c r="P84" s="642"/>
      <c r="Q84" s="642"/>
      <c r="R84" s="6"/>
    </row>
    <row r="85" spans="2:18" ht="13.5">
      <c r="B85" s="5"/>
      <c r="J85" s="145"/>
      <c r="R85" s="6"/>
    </row>
    <row r="86" spans="2:20" ht="15.75">
      <c r="B86" s="5"/>
      <c r="C86" s="160" t="s">
        <v>44</v>
      </c>
      <c r="J86" s="145"/>
      <c r="K86" s="205">
        <f aca="true" t="shared" si="0" ref="K86:K93">N86/$I$84</f>
        <v>0</v>
      </c>
      <c r="N86" s="602">
        <f>N87</f>
        <v>0</v>
      </c>
      <c r="O86" s="643"/>
      <c r="P86" s="643"/>
      <c r="Q86" s="643"/>
      <c r="R86" s="6"/>
      <c r="T86" s="161">
        <f>SUM(N86:Q93)/3</f>
        <v>0</v>
      </c>
    </row>
    <row r="87" spans="2:29" s="163" customFormat="1" ht="15">
      <c r="B87" s="162"/>
      <c r="D87" s="164" t="s">
        <v>45</v>
      </c>
      <c r="J87" s="165"/>
      <c r="K87" s="206">
        <f t="shared" si="0"/>
        <v>0</v>
      </c>
      <c r="N87" s="629">
        <f>SUM(N88:Q93)</f>
        <v>0</v>
      </c>
      <c r="O87" s="630"/>
      <c r="P87" s="630"/>
      <c r="Q87" s="630"/>
      <c r="R87" s="166"/>
      <c r="T87" s="161">
        <f>SUM(N87:Q93)/2</f>
        <v>0</v>
      </c>
      <c r="U87" s="192"/>
      <c r="V87" s="192"/>
      <c r="W87" s="192"/>
      <c r="X87" s="192"/>
      <c r="Y87" s="192"/>
      <c r="Z87" s="192"/>
      <c r="AA87" s="192"/>
      <c r="AB87" s="192"/>
      <c r="AC87" s="383"/>
    </row>
    <row r="88" spans="2:29" s="131" customFormat="1" ht="12.75">
      <c r="B88" s="130"/>
      <c r="D88" s="167" t="str">
        <f>D116</f>
        <v xml:space="preserve">    1 - Zemní práce</v>
      </c>
      <c r="J88" s="168"/>
      <c r="K88" s="207">
        <f t="shared" si="0"/>
        <v>0</v>
      </c>
      <c r="N88" s="631">
        <f>N116</f>
        <v>0</v>
      </c>
      <c r="O88" s="632"/>
      <c r="P88" s="632"/>
      <c r="Q88" s="632"/>
      <c r="R88" s="132"/>
      <c r="T88" s="133"/>
      <c r="U88" s="193"/>
      <c r="V88" s="193"/>
      <c r="W88" s="193"/>
      <c r="X88" s="193"/>
      <c r="Y88" s="193"/>
      <c r="Z88" s="193"/>
      <c r="AA88" s="193"/>
      <c r="AB88" s="193"/>
      <c r="AC88" s="256"/>
    </row>
    <row r="89" spans="2:29" s="131" customFormat="1" ht="12.75">
      <c r="B89" s="130"/>
      <c r="D89" s="167" t="str">
        <f>D136</f>
        <v xml:space="preserve">    2 - Zakládání</v>
      </c>
      <c r="J89" s="168"/>
      <c r="K89" s="207">
        <f>N89/$I$84</f>
        <v>0</v>
      </c>
      <c r="N89" s="631">
        <f>N136</f>
        <v>0</v>
      </c>
      <c r="O89" s="632"/>
      <c r="P89" s="632"/>
      <c r="Q89" s="632"/>
      <c r="R89" s="132"/>
      <c r="T89" s="133"/>
      <c r="U89" s="193"/>
      <c r="V89" s="193"/>
      <c r="W89" s="193"/>
      <c r="X89" s="193"/>
      <c r="Y89" s="193"/>
      <c r="Z89" s="193"/>
      <c r="AA89" s="193"/>
      <c r="AB89" s="193"/>
      <c r="AC89" s="256"/>
    </row>
    <row r="90" spans="2:29" s="131" customFormat="1" ht="12.75">
      <c r="B90" s="130"/>
      <c r="D90" s="167" t="str">
        <f>D139</f>
        <v xml:space="preserve">    5 - Komunikace a venkovní plochy</v>
      </c>
      <c r="J90" s="168"/>
      <c r="K90" s="207">
        <f t="shared" si="0"/>
        <v>0</v>
      </c>
      <c r="N90" s="631">
        <f>N139</f>
        <v>0</v>
      </c>
      <c r="O90" s="632"/>
      <c r="P90" s="632"/>
      <c r="Q90" s="632"/>
      <c r="R90" s="132"/>
      <c r="T90" s="133"/>
      <c r="U90" s="193"/>
      <c r="V90" s="193"/>
      <c r="W90" s="193"/>
      <c r="X90" s="193"/>
      <c r="Y90" s="193"/>
      <c r="Z90" s="193"/>
      <c r="AA90" s="193"/>
      <c r="AB90" s="193"/>
      <c r="AC90" s="256"/>
    </row>
    <row r="91" spans="2:29" s="131" customFormat="1" ht="12.75">
      <c r="B91" s="130"/>
      <c r="D91" s="167" t="str">
        <f>D152</f>
        <v xml:space="preserve">    9.1 - Ostatní konstrukce a práce, bourání</v>
      </c>
      <c r="J91" s="168"/>
      <c r="K91" s="207">
        <f t="shared" si="0"/>
        <v>0</v>
      </c>
      <c r="N91" s="631">
        <f>N152</f>
        <v>0</v>
      </c>
      <c r="O91" s="632"/>
      <c r="P91" s="632"/>
      <c r="Q91" s="632"/>
      <c r="R91" s="132"/>
      <c r="T91" s="133"/>
      <c r="U91" s="193"/>
      <c r="V91" s="193"/>
      <c r="W91" s="193"/>
      <c r="X91" s="193"/>
      <c r="Y91" s="193"/>
      <c r="Z91" s="193"/>
      <c r="AA91" s="193"/>
      <c r="AB91" s="193"/>
      <c r="AC91" s="256"/>
    </row>
    <row r="92" spans="2:29" s="131" customFormat="1" ht="12.75">
      <c r="B92" s="130"/>
      <c r="D92" s="167" t="str">
        <f>D174</f>
        <v xml:space="preserve">    9.2 - Sanace</v>
      </c>
      <c r="J92" s="168"/>
      <c r="K92" s="207">
        <f>N92/$I$84</f>
        <v>0</v>
      </c>
      <c r="N92" s="631">
        <f>N174</f>
        <v>0</v>
      </c>
      <c r="O92" s="632"/>
      <c r="P92" s="632"/>
      <c r="Q92" s="632"/>
      <c r="R92" s="132"/>
      <c r="T92" s="133"/>
      <c r="U92" s="193"/>
      <c r="V92" s="193"/>
      <c r="W92" s="193"/>
      <c r="X92" s="193"/>
      <c r="Y92" s="193"/>
      <c r="Z92" s="193"/>
      <c r="AA92" s="193"/>
      <c r="AB92" s="193"/>
      <c r="AC92" s="256"/>
    </row>
    <row r="93" spans="2:29" s="131" customFormat="1" ht="12.75">
      <c r="B93" s="130"/>
      <c r="D93" s="167" t="str">
        <f>D345</f>
        <v xml:space="preserve">    997 - Přesuny suti</v>
      </c>
      <c r="J93" s="168"/>
      <c r="K93" s="207">
        <f t="shared" si="0"/>
        <v>0</v>
      </c>
      <c r="N93" s="631">
        <f>N345</f>
        <v>0</v>
      </c>
      <c r="O93" s="632"/>
      <c r="P93" s="632"/>
      <c r="Q93" s="632"/>
      <c r="R93" s="132"/>
      <c r="T93" s="133"/>
      <c r="U93" s="193"/>
      <c r="V93" s="193"/>
      <c r="W93" s="193"/>
      <c r="X93" s="193"/>
      <c r="Y93" s="193"/>
      <c r="Z93" s="193"/>
      <c r="AA93" s="193"/>
      <c r="AB93" s="193"/>
      <c r="AC93" s="256"/>
    </row>
    <row r="94" spans="2:18" ht="13.5">
      <c r="B94" s="5"/>
      <c r="J94" s="145"/>
      <c r="R94" s="6"/>
    </row>
    <row r="95" spans="2:18" ht="15.75">
      <c r="B95" s="5"/>
      <c r="C95" s="49" t="s">
        <v>97</v>
      </c>
      <c r="D95" s="50"/>
      <c r="E95" s="50"/>
      <c r="F95" s="50"/>
      <c r="G95" s="50"/>
      <c r="H95" s="50"/>
      <c r="I95" s="50"/>
      <c r="J95" s="159"/>
      <c r="K95" s="208">
        <f>L95/$I$84</f>
        <v>0</v>
      </c>
      <c r="L95" s="615">
        <f>ROUND(N86,2)</f>
        <v>0</v>
      </c>
      <c r="M95" s="615"/>
      <c r="N95" s="615"/>
      <c r="O95" s="615"/>
      <c r="P95" s="615"/>
      <c r="Q95" s="615"/>
      <c r="R95" s="6"/>
    </row>
    <row r="96" spans="2:18" ht="13.5">
      <c r="B96" s="32"/>
      <c r="C96" s="33"/>
      <c r="D96" s="33"/>
      <c r="E96" s="33"/>
      <c r="F96" s="33"/>
      <c r="G96" s="33"/>
      <c r="H96" s="33"/>
      <c r="I96" s="33"/>
      <c r="J96" s="158"/>
      <c r="K96" s="33"/>
      <c r="L96" s="33"/>
      <c r="M96" s="33"/>
      <c r="N96" s="33"/>
      <c r="O96" s="33"/>
      <c r="P96" s="33"/>
      <c r="Q96" s="33"/>
      <c r="R96" s="34"/>
    </row>
    <row r="100" spans="2:18" ht="13.5">
      <c r="B100" s="1"/>
      <c r="C100" s="2"/>
      <c r="D100" s="2"/>
      <c r="E100" s="2"/>
      <c r="F100" s="2"/>
      <c r="G100" s="2"/>
      <c r="H100" s="2"/>
      <c r="I100" s="2"/>
      <c r="J100" s="144"/>
      <c r="K100" s="2"/>
      <c r="L100" s="2"/>
      <c r="M100" s="2"/>
      <c r="N100" s="2"/>
      <c r="O100" s="2"/>
      <c r="P100" s="2"/>
      <c r="Q100" s="2"/>
      <c r="R100" s="3"/>
    </row>
    <row r="101" spans="2:18" ht="20.25">
      <c r="B101" s="5"/>
      <c r="C101" s="596" t="s">
        <v>57</v>
      </c>
      <c r="D101" s="603"/>
      <c r="E101" s="603"/>
      <c r="F101" s="603"/>
      <c r="G101" s="603"/>
      <c r="H101" s="603"/>
      <c r="I101" s="603"/>
      <c r="J101" s="603"/>
      <c r="K101" s="603"/>
      <c r="L101" s="603"/>
      <c r="M101" s="603"/>
      <c r="N101" s="603"/>
      <c r="O101" s="603"/>
      <c r="P101" s="603"/>
      <c r="Q101" s="603"/>
      <c r="R101" s="6"/>
    </row>
    <row r="102" spans="2:18" ht="2.25" customHeight="1">
      <c r="B102" s="5"/>
      <c r="J102" s="145"/>
      <c r="R102" s="6"/>
    </row>
    <row r="103" spans="2:18" ht="12">
      <c r="B103" s="5"/>
      <c r="C103" s="7" t="s">
        <v>3</v>
      </c>
      <c r="F103" s="620" t="str">
        <f>F4</f>
        <v>Stavební úpravy, vestavba a přístavba stávajícího objektu</v>
      </c>
      <c r="G103" s="621"/>
      <c r="H103" s="621"/>
      <c r="I103" s="621"/>
      <c r="J103" s="621"/>
      <c r="K103" s="621"/>
      <c r="L103" s="621"/>
      <c r="M103" s="621"/>
      <c r="N103" s="621"/>
      <c r="O103" s="621"/>
      <c r="P103" s="621"/>
      <c r="R103" s="6"/>
    </row>
    <row r="104" spans="2:18" ht="15.75">
      <c r="B104" s="5"/>
      <c r="C104" s="8" t="s">
        <v>39</v>
      </c>
      <c r="F104" s="590" t="str">
        <f>F5</f>
        <v>Sanace</v>
      </c>
      <c r="G104" s="603"/>
      <c r="H104" s="603"/>
      <c r="I104" s="603"/>
      <c r="J104" s="603"/>
      <c r="K104" s="603"/>
      <c r="L104" s="603"/>
      <c r="M104" s="603"/>
      <c r="N104" s="603"/>
      <c r="O104" s="603"/>
      <c r="P104" s="603"/>
      <c r="R104" s="6"/>
    </row>
    <row r="105" spans="2:18" ht="13.5">
      <c r="B105" s="5"/>
      <c r="J105" s="145"/>
      <c r="R105" s="6"/>
    </row>
    <row r="106" spans="2:18" ht="12">
      <c r="B106" s="5"/>
      <c r="C106" s="7" t="s">
        <v>6</v>
      </c>
      <c r="F106" s="9" t="str">
        <f>F7</f>
        <v>Mírové náměstí 23/12, Bílina - p.č. 124, 125/1, 125/2, 125/3, k.ú. Bílina (604208)</v>
      </c>
      <c r="J106" s="145"/>
      <c r="K106" s="7" t="s">
        <v>7</v>
      </c>
      <c r="M106" s="616">
        <f>IF(O7="","",O7)</f>
        <v>0</v>
      </c>
      <c r="N106" s="616"/>
      <c r="O106" s="616"/>
      <c r="P106" s="616"/>
      <c r="R106" s="6"/>
    </row>
    <row r="107" spans="2:18" ht="13.5">
      <c r="B107" s="5"/>
      <c r="J107" s="145"/>
      <c r="R107" s="6"/>
    </row>
    <row r="108" spans="2:18" ht="12">
      <c r="B108" s="5"/>
      <c r="C108" s="7" t="s">
        <v>8</v>
      </c>
      <c r="F108" s="9" t="str">
        <f>F81</f>
        <v>město Bílina</v>
      </c>
      <c r="J108" s="145"/>
      <c r="K108" s="7" t="s">
        <v>13</v>
      </c>
      <c r="M108" s="591" t="str">
        <f>E16</f>
        <v>Ing. arch. Bořek Peška</v>
      </c>
      <c r="N108" s="591"/>
      <c r="O108" s="591"/>
      <c r="P108" s="591"/>
      <c r="Q108" s="591"/>
      <c r="R108" s="6"/>
    </row>
    <row r="109" spans="2:18" ht="12">
      <c r="B109" s="5"/>
      <c r="C109" s="7" t="s">
        <v>11</v>
      </c>
      <c r="F109" s="9">
        <f>F82</f>
        <v>0</v>
      </c>
      <c r="J109" s="145"/>
      <c r="K109" s="7" t="s">
        <v>14</v>
      </c>
      <c r="M109" s="591" t="str">
        <f>E19</f>
        <v>Jakub Kulhavý</v>
      </c>
      <c r="N109" s="591"/>
      <c r="O109" s="591"/>
      <c r="P109" s="591"/>
      <c r="Q109" s="591"/>
      <c r="R109" s="6"/>
    </row>
    <row r="110" spans="2:18" ht="12">
      <c r="B110" s="5"/>
      <c r="C110" s="7"/>
      <c r="F110" s="620"/>
      <c r="G110" s="621"/>
      <c r="H110" s="621"/>
      <c r="I110" s="621"/>
      <c r="J110" s="621"/>
      <c r="K110" s="621"/>
      <c r="L110" s="621"/>
      <c r="M110" s="621"/>
      <c r="N110" s="621"/>
      <c r="O110" s="621"/>
      <c r="P110" s="621"/>
      <c r="R110" s="6"/>
    </row>
    <row r="111" spans="2:18" ht="28.5" customHeight="1">
      <c r="B111" s="5"/>
      <c r="C111" s="7" t="s">
        <v>109</v>
      </c>
      <c r="F111" s="589" t="s">
        <v>2058</v>
      </c>
      <c r="G111" s="589"/>
      <c r="H111" s="589"/>
      <c r="I111" s="589"/>
      <c r="J111" s="589"/>
      <c r="K111" s="589"/>
      <c r="L111" s="589"/>
      <c r="M111" s="589"/>
      <c r="N111" s="589"/>
      <c r="O111" s="589"/>
      <c r="P111" s="589"/>
      <c r="R111" s="6"/>
    </row>
    <row r="112" spans="2:18" ht="3.75" customHeight="1">
      <c r="B112" s="5"/>
      <c r="J112" s="145"/>
      <c r="R112" s="6"/>
    </row>
    <row r="113" spans="2:28" s="138" customFormat="1" ht="12">
      <c r="B113" s="134"/>
      <c r="C113" s="169" t="s">
        <v>58</v>
      </c>
      <c r="D113" s="135" t="s">
        <v>59</v>
      </c>
      <c r="E113" s="135" t="s">
        <v>34</v>
      </c>
      <c r="F113" s="622" t="s">
        <v>60</v>
      </c>
      <c r="G113" s="622"/>
      <c r="H113" s="622"/>
      <c r="I113" s="622"/>
      <c r="J113" s="170" t="s">
        <v>61</v>
      </c>
      <c r="K113" s="135" t="s">
        <v>62</v>
      </c>
      <c r="L113" s="623" t="s">
        <v>63</v>
      </c>
      <c r="M113" s="623"/>
      <c r="N113" s="622" t="s">
        <v>43</v>
      </c>
      <c r="O113" s="622"/>
      <c r="P113" s="622"/>
      <c r="Q113" s="624"/>
      <c r="R113" s="136"/>
      <c r="T113" s="137"/>
      <c r="U113" s="194"/>
      <c r="V113" s="194"/>
      <c r="W113" s="194"/>
      <c r="X113" s="194"/>
      <c r="Y113" s="194"/>
      <c r="Z113" s="194"/>
      <c r="AA113" s="194"/>
      <c r="AB113" s="194"/>
    </row>
    <row r="114" spans="2:20" ht="15.75">
      <c r="B114" s="5"/>
      <c r="C114" s="42" t="s">
        <v>40</v>
      </c>
      <c r="J114" s="145"/>
      <c r="N114" s="644">
        <f>N115</f>
        <v>0</v>
      </c>
      <c r="O114" s="645"/>
      <c r="P114" s="645"/>
      <c r="Q114" s="645"/>
      <c r="R114" s="6"/>
      <c r="T114" s="129">
        <f>SUM(N114:Q351)/4</f>
        <v>0</v>
      </c>
    </row>
    <row r="115" spans="2:29" s="143" customFormat="1" ht="15">
      <c r="B115" s="139"/>
      <c r="D115" s="164" t="s">
        <v>45</v>
      </c>
      <c r="E115" s="164"/>
      <c r="F115" s="164"/>
      <c r="G115" s="164"/>
      <c r="H115" s="164"/>
      <c r="I115" s="164"/>
      <c r="J115" s="171"/>
      <c r="K115" s="164"/>
      <c r="L115" s="164"/>
      <c r="M115" s="164"/>
      <c r="N115" s="629">
        <f>N116+N136+N139+N152+N174+N345</f>
        <v>0</v>
      </c>
      <c r="O115" s="629"/>
      <c r="P115" s="629"/>
      <c r="Q115" s="629"/>
      <c r="R115" s="141"/>
      <c r="T115" s="142">
        <f>SUM(N115:Q350)/3</f>
        <v>0</v>
      </c>
      <c r="U115" s="177"/>
      <c r="V115" s="177"/>
      <c r="W115" s="177"/>
      <c r="X115" s="177"/>
      <c r="Y115" s="177"/>
      <c r="Z115" s="177"/>
      <c r="AA115" s="177"/>
      <c r="AB115" s="177"/>
      <c r="AC115" s="384"/>
    </row>
    <row r="116" spans="2:29" s="143" customFormat="1" ht="12.75">
      <c r="B116" s="139"/>
      <c r="C116" s="140"/>
      <c r="D116" s="140" t="s">
        <v>46</v>
      </c>
      <c r="E116" s="140"/>
      <c r="F116" s="140"/>
      <c r="G116" s="140"/>
      <c r="H116" s="140"/>
      <c r="I116" s="140"/>
      <c r="J116" s="172"/>
      <c r="K116" s="140"/>
      <c r="L116" s="140"/>
      <c r="M116" s="140"/>
      <c r="N116" s="633">
        <f>SUM(N117:Q135)</f>
        <v>0</v>
      </c>
      <c r="O116" s="633"/>
      <c r="P116" s="633"/>
      <c r="Q116" s="633"/>
      <c r="R116" s="141"/>
      <c r="T116" s="173">
        <f>SUM(N116:Q135)/2</f>
        <v>0</v>
      </c>
      <c r="U116" s="195"/>
      <c r="V116" s="265"/>
      <c r="W116" s="265"/>
      <c r="X116" s="265"/>
      <c r="Y116" s="265"/>
      <c r="AC116" s="384"/>
    </row>
    <row r="117" spans="2:28" ht="27" customHeight="1" outlineLevel="1">
      <c r="B117" s="5"/>
      <c r="C117" s="261"/>
      <c r="D117" s="261" t="s">
        <v>64</v>
      </c>
      <c r="E117" s="262">
        <v>132212132</v>
      </c>
      <c r="F117" s="625" t="s">
        <v>353</v>
      </c>
      <c r="G117" s="625"/>
      <c r="H117" s="625"/>
      <c r="I117" s="625"/>
      <c r="J117" s="174" t="s">
        <v>66</v>
      </c>
      <c r="K117" s="264">
        <f>SUM(K118:K121)</f>
        <v>46.4925</v>
      </c>
      <c r="L117" s="626"/>
      <c r="M117" s="626"/>
      <c r="N117" s="619">
        <f>ROUND(L117*K117,2)</f>
        <v>0</v>
      </c>
      <c r="O117" s="619"/>
      <c r="P117" s="619"/>
      <c r="Q117" s="619"/>
      <c r="R117" s="6"/>
      <c r="T117" s="142"/>
      <c r="V117" s="321"/>
      <c r="W117" s="4"/>
      <c r="X117" s="4"/>
      <c r="Y117" s="4"/>
      <c r="Z117" s="4"/>
      <c r="AA117" s="4"/>
      <c r="AB117" s="4"/>
    </row>
    <row r="118" spans="2:29" s="177" customFormat="1" ht="13.5" outlineLevel="1">
      <c r="B118" s="175"/>
      <c r="E118" s="319" t="s">
        <v>352</v>
      </c>
      <c r="F118" s="627" t="s">
        <v>832</v>
      </c>
      <c r="G118" s="628" t="e">
        <f>(33.8+20.9)*0.7*F118</f>
        <v>#VALUE!</v>
      </c>
      <c r="H118" s="628" t="e">
        <f>(33.8+20.9)*0.7*G118</f>
        <v>#VALUE!</v>
      </c>
      <c r="I118" s="628" t="e">
        <f>(33.8+20.9)*0.7*H118</f>
        <v>#VALUE!</v>
      </c>
      <c r="J118" s="176">
        <v>0.4</v>
      </c>
      <c r="K118" s="266">
        <f>(33.8+20.9)*0.7*J118</f>
        <v>15.315999999999997</v>
      </c>
      <c r="L118" s="419"/>
      <c r="M118" s="419"/>
      <c r="R118" s="178"/>
      <c r="T118" s="142"/>
      <c r="AC118" s="386"/>
    </row>
    <row r="119" spans="2:29" s="177" customFormat="1" ht="13.5" outlineLevel="1">
      <c r="B119" s="175"/>
      <c r="E119" s="319" t="s">
        <v>352</v>
      </c>
      <c r="F119" s="627" t="s">
        <v>833</v>
      </c>
      <c r="G119" s="628" t="e">
        <f>(9.6+3.6)*0.7*F119</f>
        <v>#VALUE!</v>
      </c>
      <c r="H119" s="628" t="e">
        <f>(9.6+3.6)*0.7*G119</f>
        <v>#VALUE!</v>
      </c>
      <c r="I119" s="628" t="e">
        <f>(9.6+3.6)*0.7*H119</f>
        <v>#VALUE!</v>
      </c>
      <c r="J119" s="176">
        <v>0.6</v>
      </c>
      <c r="K119" s="266">
        <f>(9.6+3.6)*0.7*J119</f>
        <v>5.543999999999999</v>
      </c>
      <c r="L119" s="419"/>
      <c r="M119" s="419"/>
      <c r="R119" s="178"/>
      <c r="T119" s="142"/>
      <c r="AC119" s="386"/>
    </row>
    <row r="120" spans="2:29" s="177" customFormat="1" ht="13.5" outlineLevel="1">
      <c r="B120" s="175"/>
      <c r="E120" s="319" t="s">
        <v>352</v>
      </c>
      <c r="F120" s="627" t="s">
        <v>834</v>
      </c>
      <c r="G120" s="628" t="e">
        <f>(13.8+7.9)*0.7*F120</f>
        <v>#VALUE!</v>
      </c>
      <c r="H120" s="628" t="e">
        <f>(13.8+7.9)*0.7*G120</f>
        <v>#VALUE!</v>
      </c>
      <c r="I120" s="628" t="e">
        <f>(13.8+7.9)*0.7*H120</f>
        <v>#VALUE!</v>
      </c>
      <c r="J120" s="176">
        <f>(1.1+2)/2</f>
        <v>1.55</v>
      </c>
      <c r="K120" s="266">
        <f>(13.8+7.9)*0.7*J120</f>
        <v>23.544500000000003</v>
      </c>
      <c r="L120" s="419"/>
      <c r="M120" s="419"/>
      <c r="R120" s="178"/>
      <c r="T120" s="142"/>
      <c r="AC120" s="386"/>
    </row>
    <row r="121" spans="2:29" s="177" customFormat="1" ht="13.5" outlineLevel="1">
      <c r="B121" s="175"/>
      <c r="E121" s="319" t="s">
        <v>675</v>
      </c>
      <c r="F121" s="627" t="s">
        <v>835</v>
      </c>
      <c r="G121" s="628" t="e">
        <f>17.4*F121</f>
        <v>#VALUE!</v>
      </c>
      <c r="H121" s="628" t="e">
        <f>17.4*G121</f>
        <v>#VALUE!</v>
      </c>
      <c r="I121" s="628" t="e">
        <f>17.4*H121</f>
        <v>#VALUE!</v>
      </c>
      <c r="J121" s="176">
        <f>0.3*0.4</f>
        <v>0.12</v>
      </c>
      <c r="K121" s="266">
        <f>17.4*J121</f>
        <v>2.0879999999999996</v>
      </c>
      <c r="L121" s="419"/>
      <c r="M121" s="419"/>
      <c r="R121" s="178"/>
      <c r="T121" s="142"/>
      <c r="AC121" s="386"/>
    </row>
    <row r="122" spans="2:27" ht="13.5" outlineLevel="1">
      <c r="B122" s="5"/>
      <c r="C122" s="261"/>
      <c r="D122" s="261" t="s">
        <v>64</v>
      </c>
      <c r="E122" s="262" t="s">
        <v>376</v>
      </c>
      <c r="F122" s="625" t="s">
        <v>377</v>
      </c>
      <c r="G122" s="625"/>
      <c r="H122" s="625"/>
      <c r="I122" s="625"/>
      <c r="J122" s="174" t="s">
        <v>66</v>
      </c>
      <c r="K122" s="264">
        <f>SUM(K123:K124)</f>
        <v>110.35570000000001</v>
      </c>
      <c r="L122" s="626"/>
      <c r="M122" s="626"/>
      <c r="N122" s="619">
        <f>ROUND(L122*K122,2)</f>
        <v>0</v>
      </c>
      <c r="O122" s="619"/>
      <c r="P122" s="619"/>
      <c r="Q122" s="619"/>
      <c r="R122" s="6"/>
      <c r="T122" s="142"/>
      <c r="V122" s="321"/>
      <c r="AA122" s="321"/>
    </row>
    <row r="123" spans="2:29" s="177" customFormat="1" ht="13.5" outlineLevel="1">
      <c r="B123" s="175"/>
      <c r="E123" s="319" t="s">
        <v>612</v>
      </c>
      <c r="F123" s="627" t="s">
        <v>836</v>
      </c>
      <c r="G123" s="628" t="e">
        <f>(22.76+27.72+40.52)*(F123-F115)+(20+15.1+30.61+4.95+2.28)*(F123-F116)</f>
        <v>#VALUE!</v>
      </c>
      <c r="H123" s="628" t="e">
        <f>(22.76+27.72+40.52)*(G123-G115)+(20+15.1+30.61+4.95+2.28)*(G123-G116)</f>
        <v>#VALUE!</v>
      </c>
      <c r="I123" s="628" t="e">
        <f>(22.76+27.72+40.52)*(H123-H115)+(20+15.1+30.61+4.95+2.28)*(H123-H116)</f>
        <v>#VALUE!</v>
      </c>
      <c r="J123" s="176">
        <v>0.65</v>
      </c>
      <c r="K123" s="266">
        <f>(22.76+27.72+40.52)*(J123-J115)+(20+15.1+30.61+4.95+2.28)*(J123-J116)</f>
        <v>106.561</v>
      </c>
      <c r="L123" s="419"/>
      <c r="M123" s="419"/>
      <c r="R123" s="178"/>
      <c r="T123" s="142"/>
      <c r="AC123" s="386"/>
    </row>
    <row r="124" spans="2:29" s="177" customFormat="1" ht="13.5" outlineLevel="1">
      <c r="B124" s="175"/>
      <c r="E124" s="319" t="s">
        <v>613</v>
      </c>
      <c r="F124" s="627" t="s">
        <v>809</v>
      </c>
      <c r="G124" s="628" t="e">
        <f>(6.86+11.21)*F124</f>
        <v>#VALUE!</v>
      </c>
      <c r="H124" s="628" t="e">
        <f>(6.86+11.21)*G124</f>
        <v>#VALUE!</v>
      </c>
      <c r="I124" s="628" t="e">
        <f>(6.86+11.21)*H124</f>
        <v>#VALUE!</v>
      </c>
      <c r="J124" s="176">
        <v>0.21</v>
      </c>
      <c r="K124" s="266">
        <f>(6.86+11.21)*J124</f>
        <v>3.7946999999999997</v>
      </c>
      <c r="L124" s="419"/>
      <c r="M124" s="419"/>
      <c r="R124" s="178"/>
      <c r="T124" s="142"/>
      <c r="AC124" s="386"/>
    </row>
    <row r="125" spans="2:28" ht="27" customHeight="1" outlineLevel="1">
      <c r="B125" s="5"/>
      <c r="C125" s="261"/>
      <c r="D125" s="261" t="s">
        <v>64</v>
      </c>
      <c r="E125" s="262">
        <v>162751117</v>
      </c>
      <c r="F125" s="625" t="s">
        <v>196</v>
      </c>
      <c r="G125" s="625"/>
      <c r="H125" s="625"/>
      <c r="I125" s="625"/>
      <c r="J125" s="174" t="s">
        <v>66</v>
      </c>
      <c r="K125" s="264">
        <f>SUM(K126:K126)</f>
        <v>154.76020000000003</v>
      </c>
      <c r="L125" s="626"/>
      <c r="M125" s="626"/>
      <c r="N125" s="619">
        <f>ROUND(L125*K125,2)</f>
        <v>0</v>
      </c>
      <c r="O125" s="619"/>
      <c r="P125" s="619"/>
      <c r="Q125" s="619"/>
      <c r="R125" s="6"/>
      <c r="T125" s="142"/>
      <c r="V125" s="4"/>
      <c r="W125" s="4"/>
      <c r="X125" s="4"/>
      <c r="Y125" s="4"/>
      <c r="Z125" s="4"/>
      <c r="AA125" s="4"/>
      <c r="AB125" s="4"/>
    </row>
    <row r="126" spans="2:29" s="177" customFormat="1" ht="22.5" outlineLevel="1">
      <c r="B126" s="175"/>
      <c r="E126" s="319" t="s">
        <v>211</v>
      </c>
      <c r="F126" s="627" t="s">
        <v>194</v>
      </c>
      <c r="G126" s="628"/>
      <c r="H126" s="628"/>
      <c r="I126" s="628"/>
      <c r="J126" s="176"/>
      <c r="K126" s="266">
        <f>K117+K122-K134</f>
        <v>154.76020000000003</v>
      </c>
      <c r="L126" s="419"/>
      <c r="M126" s="419"/>
      <c r="R126" s="178"/>
      <c r="T126" s="142"/>
      <c r="AC126" s="386"/>
    </row>
    <row r="127" spans="2:28" ht="27" customHeight="1" outlineLevel="1">
      <c r="B127" s="5"/>
      <c r="C127" s="261"/>
      <c r="D127" s="261" t="s">
        <v>64</v>
      </c>
      <c r="E127" s="262">
        <v>162751119</v>
      </c>
      <c r="F127" s="625" t="s">
        <v>202</v>
      </c>
      <c r="G127" s="625"/>
      <c r="H127" s="625"/>
      <c r="I127" s="625"/>
      <c r="J127" s="174" t="s">
        <v>66</v>
      </c>
      <c r="K127" s="264">
        <f>SUM(K128:K128)</f>
        <v>1547.6020000000003</v>
      </c>
      <c r="L127" s="626"/>
      <c r="M127" s="626"/>
      <c r="N127" s="619">
        <f>ROUND(L127*K127,2)</f>
        <v>0</v>
      </c>
      <c r="O127" s="619"/>
      <c r="P127" s="619"/>
      <c r="Q127" s="619"/>
      <c r="R127" s="6"/>
      <c r="T127" s="142"/>
      <c r="V127" s="4"/>
      <c r="W127" s="4"/>
      <c r="X127" s="4"/>
      <c r="Y127" s="4"/>
      <c r="Z127" s="4"/>
      <c r="AA127" s="4"/>
      <c r="AB127" s="4"/>
    </row>
    <row r="128" spans="2:29" s="177" customFormat="1" ht="13.5" outlineLevel="1">
      <c r="B128" s="175"/>
      <c r="E128" s="319"/>
      <c r="F128" s="627" t="s">
        <v>2284</v>
      </c>
      <c r="G128" s="628"/>
      <c r="H128" s="628"/>
      <c r="I128" s="628"/>
      <c r="J128" s="176">
        <v>10</v>
      </c>
      <c r="K128" s="266">
        <f>K125*J128</f>
        <v>1547.6020000000003</v>
      </c>
      <c r="L128" s="419"/>
      <c r="M128" s="419"/>
      <c r="R128" s="178"/>
      <c r="T128" s="142"/>
      <c r="AC128" s="386"/>
    </row>
    <row r="129" spans="2:28" ht="13.5" outlineLevel="1">
      <c r="B129" s="5"/>
      <c r="C129" s="261"/>
      <c r="D129" s="261" t="s">
        <v>64</v>
      </c>
      <c r="E129" s="262">
        <v>167151111</v>
      </c>
      <c r="F129" s="625" t="s">
        <v>201</v>
      </c>
      <c r="G129" s="625"/>
      <c r="H129" s="625"/>
      <c r="I129" s="625"/>
      <c r="J129" s="174" t="s">
        <v>66</v>
      </c>
      <c r="K129" s="264">
        <f>SUM(K130:K130)</f>
        <v>154.76020000000003</v>
      </c>
      <c r="L129" s="626"/>
      <c r="M129" s="626"/>
      <c r="N129" s="619">
        <f>ROUND(L129*K129,2)</f>
        <v>0</v>
      </c>
      <c r="O129" s="619"/>
      <c r="P129" s="619"/>
      <c r="Q129" s="619"/>
      <c r="R129" s="6"/>
      <c r="T129" s="142"/>
      <c r="V129" s="4"/>
      <c r="W129" s="4"/>
      <c r="X129" s="4"/>
      <c r="Y129" s="4"/>
      <c r="Z129" s="4"/>
      <c r="AA129" s="4"/>
      <c r="AB129" s="4"/>
    </row>
    <row r="130" spans="2:29" s="177" customFormat="1" ht="22.5" outlineLevel="1">
      <c r="B130" s="175"/>
      <c r="E130" s="319" t="s">
        <v>195</v>
      </c>
      <c r="F130" s="627" t="s">
        <v>244</v>
      </c>
      <c r="G130" s="628"/>
      <c r="H130" s="628"/>
      <c r="I130" s="628"/>
      <c r="J130" s="176"/>
      <c r="K130" s="266">
        <f>K125</f>
        <v>154.76020000000003</v>
      </c>
      <c r="L130" s="419"/>
      <c r="M130" s="419"/>
      <c r="R130" s="178"/>
      <c r="T130" s="142"/>
      <c r="AC130" s="386"/>
    </row>
    <row r="131" spans="2:28" ht="13.5" outlineLevel="1">
      <c r="B131" s="5"/>
      <c r="C131" s="261"/>
      <c r="D131" s="261" t="s">
        <v>64</v>
      </c>
      <c r="E131" s="262">
        <v>171251201</v>
      </c>
      <c r="F131" s="625" t="s">
        <v>112</v>
      </c>
      <c r="G131" s="625"/>
      <c r="H131" s="625"/>
      <c r="I131" s="625"/>
      <c r="J131" s="174" t="s">
        <v>66</v>
      </c>
      <c r="K131" s="264">
        <f>K129</f>
        <v>154.76020000000003</v>
      </c>
      <c r="L131" s="626"/>
      <c r="M131" s="626"/>
      <c r="N131" s="619">
        <f>ROUND(L131*K131,2)</f>
        <v>0</v>
      </c>
      <c r="O131" s="619"/>
      <c r="P131" s="619"/>
      <c r="Q131" s="619"/>
      <c r="R131" s="6"/>
      <c r="T131" s="142"/>
      <c r="V131" s="4"/>
      <c r="W131" s="4"/>
      <c r="X131" s="4"/>
      <c r="Y131" s="4"/>
      <c r="Z131" s="4"/>
      <c r="AA131" s="4"/>
      <c r="AB131" s="4"/>
    </row>
    <row r="132" spans="2:28" ht="27" customHeight="1" outlineLevel="1">
      <c r="B132" s="5"/>
      <c r="C132" s="261"/>
      <c r="D132" s="261" t="s">
        <v>64</v>
      </c>
      <c r="E132" s="262">
        <v>171201231</v>
      </c>
      <c r="F132" s="625" t="s">
        <v>200</v>
      </c>
      <c r="G132" s="625"/>
      <c r="H132" s="625"/>
      <c r="I132" s="625"/>
      <c r="J132" s="174" t="s">
        <v>68</v>
      </c>
      <c r="K132" s="264">
        <f>SUM(K133:K133)</f>
        <v>247.61632000000006</v>
      </c>
      <c r="L132" s="626"/>
      <c r="M132" s="626"/>
      <c r="N132" s="619">
        <f>ROUND(L132*K132,2)</f>
        <v>0</v>
      </c>
      <c r="O132" s="619"/>
      <c r="P132" s="619"/>
      <c r="Q132" s="619"/>
      <c r="R132" s="6"/>
      <c r="T132" s="142"/>
      <c r="V132" s="4"/>
      <c r="W132" s="4"/>
      <c r="X132" s="4"/>
      <c r="Y132" s="4"/>
      <c r="Z132" s="4"/>
      <c r="AA132" s="4"/>
      <c r="AB132" s="4"/>
    </row>
    <row r="133" spans="2:29" s="177" customFormat="1" ht="22.5" outlineLevel="1">
      <c r="B133" s="175"/>
      <c r="E133" s="319" t="s">
        <v>198</v>
      </c>
      <c r="F133" s="627" t="s">
        <v>199</v>
      </c>
      <c r="G133" s="628"/>
      <c r="H133" s="628"/>
      <c r="I133" s="628"/>
      <c r="J133" s="176">
        <v>1.6</v>
      </c>
      <c r="K133" s="266">
        <f>K125*J133</f>
        <v>247.61632000000006</v>
      </c>
      <c r="L133" s="419"/>
      <c r="M133" s="419"/>
      <c r="R133" s="178"/>
      <c r="T133" s="142"/>
      <c r="AC133" s="386"/>
    </row>
    <row r="134" spans="2:28" ht="13.5" outlineLevel="1">
      <c r="B134" s="5"/>
      <c r="C134" s="261"/>
      <c r="D134" s="261" t="s">
        <v>64</v>
      </c>
      <c r="E134" s="262" t="s">
        <v>111</v>
      </c>
      <c r="F134" s="625" t="s">
        <v>99</v>
      </c>
      <c r="G134" s="625"/>
      <c r="H134" s="625"/>
      <c r="I134" s="625"/>
      <c r="J134" s="174" t="s">
        <v>66</v>
      </c>
      <c r="K134" s="264">
        <f>SUM(K135:K135)</f>
        <v>2.0879999999999996</v>
      </c>
      <c r="L134" s="626"/>
      <c r="M134" s="626"/>
      <c r="N134" s="619">
        <f>ROUND(L134*K134,2)</f>
        <v>0</v>
      </c>
      <c r="O134" s="619"/>
      <c r="P134" s="619"/>
      <c r="Q134" s="619"/>
      <c r="R134" s="6"/>
      <c r="T134" s="142"/>
      <c r="V134" s="4"/>
      <c r="W134" s="4"/>
      <c r="X134" s="4"/>
      <c r="Y134" s="4"/>
      <c r="Z134" s="4"/>
      <c r="AA134" s="4"/>
      <c r="AB134" s="4"/>
    </row>
    <row r="135" spans="2:29" s="177" customFormat="1" ht="13.5" outlineLevel="1">
      <c r="B135" s="175"/>
      <c r="E135" s="319" t="s">
        <v>676</v>
      </c>
      <c r="F135" s="627"/>
      <c r="G135" s="628"/>
      <c r="H135" s="628"/>
      <c r="I135" s="628"/>
      <c r="J135" s="176"/>
      <c r="K135" s="266">
        <f>K121</f>
        <v>2.0879999999999996</v>
      </c>
      <c r="L135" s="419"/>
      <c r="M135" s="419"/>
      <c r="R135" s="178"/>
      <c r="T135" s="142"/>
      <c r="AC135" s="386"/>
    </row>
    <row r="136" spans="2:29" s="143" customFormat="1" ht="12.75">
      <c r="B136" s="139"/>
      <c r="C136" s="140"/>
      <c r="D136" s="140" t="s">
        <v>47</v>
      </c>
      <c r="E136" s="140"/>
      <c r="F136" s="140"/>
      <c r="G136" s="140"/>
      <c r="H136" s="140"/>
      <c r="I136" s="140"/>
      <c r="J136" s="172"/>
      <c r="K136" s="140"/>
      <c r="L136" s="186"/>
      <c r="M136" s="186"/>
      <c r="N136" s="633">
        <f>SUM(N137:Q138)</f>
        <v>0</v>
      </c>
      <c r="O136" s="633"/>
      <c r="P136" s="633"/>
      <c r="Q136" s="633"/>
      <c r="R136" s="141"/>
      <c r="T136" s="173">
        <f>SUM(N136:Q138)/2</f>
        <v>0</v>
      </c>
      <c r="U136" s="195"/>
      <c r="V136" s="195"/>
      <c r="W136" s="195"/>
      <c r="X136" s="195"/>
      <c r="Y136" s="195"/>
      <c r="Z136" s="195"/>
      <c r="AA136" s="177"/>
      <c r="AB136" s="177"/>
      <c r="AC136" s="384"/>
    </row>
    <row r="137" spans="2:20" ht="13.5" outlineLevel="1">
      <c r="B137" s="5"/>
      <c r="C137" s="261"/>
      <c r="D137" s="261" t="s">
        <v>64</v>
      </c>
      <c r="E137" s="262">
        <v>212312111</v>
      </c>
      <c r="F137" s="625" t="s">
        <v>673</v>
      </c>
      <c r="G137" s="625"/>
      <c r="H137" s="625"/>
      <c r="I137" s="625"/>
      <c r="J137" s="174" t="s">
        <v>65</v>
      </c>
      <c r="K137" s="264">
        <f>SUM(K138:K138)</f>
        <v>3.1359999999999997</v>
      </c>
      <c r="L137" s="626"/>
      <c r="M137" s="626"/>
      <c r="N137" s="619">
        <f>ROUND(L137*K137,2)</f>
        <v>0</v>
      </c>
      <c r="O137" s="619"/>
      <c r="P137" s="619"/>
      <c r="Q137" s="619"/>
      <c r="R137" s="6"/>
      <c r="T137" s="142"/>
    </row>
    <row r="138" spans="2:29" s="177" customFormat="1" ht="22.5" outlineLevel="1">
      <c r="B138" s="175"/>
      <c r="E138" s="319" t="s">
        <v>674</v>
      </c>
      <c r="F138" s="627" t="s">
        <v>837</v>
      </c>
      <c r="G138" s="628" t="e">
        <f>(33.8+20.9+9.6+3.6+13.8+7.9)*0.7*F138</f>
        <v>#VALUE!</v>
      </c>
      <c r="H138" s="628" t="e">
        <f>(33.8+20.9+9.6+3.6+13.8+7.9)*0.7*G138</f>
        <v>#VALUE!</v>
      </c>
      <c r="I138" s="628" t="e">
        <f>(33.8+20.9+9.6+3.6+13.8+7.9)*0.7*H138</f>
        <v>#VALUE!</v>
      </c>
      <c r="J138" s="176">
        <v>0.05</v>
      </c>
      <c r="K138" s="266">
        <f>(33.8+20.9+9.6+3.6+13.8+7.9)*0.7*J138</f>
        <v>3.1359999999999997</v>
      </c>
      <c r="L138" s="419"/>
      <c r="M138" s="419"/>
      <c r="R138" s="178"/>
      <c r="T138" s="142"/>
      <c r="AC138" s="386"/>
    </row>
    <row r="139" spans="2:29" s="143" customFormat="1" ht="12.75">
      <c r="B139" s="139"/>
      <c r="C139" s="140"/>
      <c r="D139" s="140" t="s">
        <v>259</v>
      </c>
      <c r="E139" s="140"/>
      <c r="F139" s="140"/>
      <c r="G139" s="140"/>
      <c r="H139" s="140"/>
      <c r="I139" s="140"/>
      <c r="J139" s="172"/>
      <c r="K139" s="140"/>
      <c r="L139" s="186"/>
      <c r="M139" s="186"/>
      <c r="N139" s="633">
        <f>SUM(N140:Q151)</f>
        <v>0</v>
      </c>
      <c r="O139" s="633"/>
      <c r="P139" s="633"/>
      <c r="Q139" s="633"/>
      <c r="R139" s="141"/>
      <c r="T139" s="173">
        <f>SUM(N139:Q141)/2</f>
        <v>0</v>
      </c>
      <c r="U139" s="195"/>
      <c r="V139" s="195"/>
      <c r="W139" s="195"/>
      <c r="X139" s="195"/>
      <c r="Y139" s="195"/>
      <c r="Z139" s="195"/>
      <c r="AA139" s="177"/>
      <c r="AB139" s="177"/>
      <c r="AC139" s="384"/>
    </row>
    <row r="140" spans="2:20" ht="13.5" outlineLevel="1">
      <c r="B140" s="5"/>
      <c r="C140" s="261"/>
      <c r="D140" s="261" t="s">
        <v>64</v>
      </c>
      <c r="E140" s="262">
        <v>113106111</v>
      </c>
      <c r="F140" s="625" t="s">
        <v>679</v>
      </c>
      <c r="G140" s="625"/>
      <c r="H140" s="625"/>
      <c r="I140" s="625"/>
      <c r="J140" s="174" t="s">
        <v>65</v>
      </c>
      <c r="K140" s="264">
        <f>SUM(K141:K141)</f>
        <v>38.28999999999999</v>
      </c>
      <c r="L140" s="626"/>
      <c r="M140" s="626"/>
      <c r="N140" s="619">
        <f>ROUND(L140*K140,2)</f>
        <v>0</v>
      </c>
      <c r="O140" s="619"/>
      <c r="P140" s="619"/>
      <c r="Q140" s="619"/>
      <c r="R140" s="6"/>
      <c r="T140" s="142"/>
    </row>
    <row r="141" spans="2:29" s="177" customFormat="1" ht="13.5" outlineLevel="1">
      <c r="B141" s="175"/>
      <c r="E141" s="319" t="s">
        <v>680</v>
      </c>
      <c r="F141" s="627" t="s">
        <v>838</v>
      </c>
      <c r="G141" s="628">
        <f>(33.8+20.9)*0.7</f>
        <v>38.28999999999999</v>
      </c>
      <c r="H141" s="628">
        <f>(33.8+20.9)*0.7</f>
        <v>38.28999999999999</v>
      </c>
      <c r="I141" s="628">
        <f>(33.8+20.9)*0.7</f>
        <v>38.28999999999999</v>
      </c>
      <c r="J141" s="176"/>
      <c r="K141" s="266">
        <f>(33.8+20.9)*0.7</f>
        <v>38.28999999999999</v>
      </c>
      <c r="L141" s="419"/>
      <c r="M141" s="419"/>
      <c r="R141" s="178"/>
      <c r="T141" s="142"/>
      <c r="AC141" s="386"/>
    </row>
    <row r="142" spans="2:20" ht="13.5" outlineLevel="1">
      <c r="B142" s="5"/>
      <c r="C142" s="261"/>
      <c r="D142" s="261" t="s">
        <v>64</v>
      </c>
      <c r="E142" s="262">
        <v>113106123</v>
      </c>
      <c r="F142" s="625" t="s">
        <v>681</v>
      </c>
      <c r="G142" s="625"/>
      <c r="H142" s="625"/>
      <c r="I142" s="625"/>
      <c r="J142" s="174" t="s">
        <v>65</v>
      </c>
      <c r="K142" s="264">
        <f>SUM(K143:K143)</f>
        <v>9.66</v>
      </c>
      <c r="L142" s="626"/>
      <c r="M142" s="626"/>
      <c r="N142" s="619">
        <f>ROUND(L142*K142,2)</f>
        <v>0</v>
      </c>
      <c r="O142" s="619"/>
      <c r="P142" s="619"/>
      <c r="Q142" s="619"/>
      <c r="R142" s="6"/>
      <c r="T142" s="142"/>
    </row>
    <row r="143" spans="2:29" s="177" customFormat="1" ht="13.5" outlineLevel="1">
      <c r="B143" s="175"/>
      <c r="E143" s="319" t="s">
        <v>682</v>
      </c>
      <c r="F143" s="627" t="s">
        <v>839</v>
      </c>
      <c r="G143" s="628">
        <f>13.8*0.7</f>
        <v>9.66</v>
      </c>
      <c r="H143" s="628">
        <f>13.8*0.7</f>
        <v>9.66</v>
      </c>
      <c r="I143" s="628">
        <f>13.8*0.7</f>
        <v>9.66</v>
      </c>
      <c r="J143" s="176"/>
      <c r="K143" s="266">
        <f>13.8*0.7</f>
        <v>9.66</v>
      </c>
      <c r="L143" s="419"/>
      <c r="M143" s="419"/>
      <c r="R143" s="178"/>
      <c r="T143" s="142"/>
      <c r="AC143" s="386"/>
    </row>
    <row r="144" spans="2:20" ht="13.5" outlineLevel="1">
      <c r="B144" s="5"/>
      <c r="C144" s="261"/>
      <c r="D144" s="261" t="s">
        <v>64</v>
      </c>
      <c r="E144" s="262">
        <v>113107113</v>
      </c>
      <c r="F144" s="625" t="s">
        <v>683</v>
      </c>
      <c r="G144" s="625"/>
      <c r="H144" s="625"/>
      <c r="I144" s="625"/>
      <c r="J144" s="174" t="s">
        <v>65</v>
      </c>
      <c r="K144" s="264">
        <f>K140+K142</f>
        <v>47.94999999999999</v>
      </c>
      <c r="L144" s="626"/>
      <c r="M144" s="626"/>
      <c r="N144" s="619">
        <f>ROUND(L144*K144,2)</f>
        <v>0</v>
      </c>
      <c r="O144" s="619"/>
      <c r="P144" s="619"/>
      <c r="Q144" s="619"/>
      <c r="R144" s="6"/>
      <c r="T144" s="142"/>
    </row>
    <row r="145" spans="2:20" ht="13.5" outlineLevel="1">
      <c r="B145" s="5"/>
      <c r="C145" s="261"/>
      <c r="D145" s="261" t="s">
        <v>64</v>
      </c>
      <c r="E145" s="262">
        <v>564861011</v>
      </c>
      <c r="F145" s="625" t="s">
        <v>684</v>
      </c>
      <c r="G145" s="625"/>
      <c r="H145" s="625"/>
      <c r="I145" s="625"/>
      <c r="J145" s="174" t="s">
        <v>65</v>
      </c>
      <c r="K145" s="264">
        <f>SUM(K146:K147)</f>
        <v>47.94999999999999</v>
      </c>
      <c r="L145" s="626"/>
      <c r="M145" s="626"/>
      <c r="N145" s="619">
        <f>ROUND(L145*K145,2)</f>
        <v>0</v>
      </c>
      <c r="O145" s="619"/>
      <c r="P145" s="619"/>
      <c r="Q145" s="619"/>
      <c r="R145" s="6"/>
      <c r="T145" s="142"/>
    </row>
    <row r="146" spans="2:29" s="177" customFormat="1" ht="13.5" outlineLevel="1">
      <c r="B146" s="175"/>
      <c r="E146" s="319" t="s">
        <v>680</v>
      </c>
      <c r="F146" s="627" t="s">
        <v>838</v>
      </c>
      <c r="G146" s="628">
        <f>(33.8+20.9)*0.7</f>
        <v>38.28999999999999</v>
      </c>
      <c r="H146" s="628">
        <f>(33.8+20.9)*0.7</f>
        <v>38.28999999999999</v>
      </c>
      <c r="I146" s="628">
        <f>(33.8+20.9)*0.7</f>
        <v>38.28999999999999</v>
      </c>
      <c r="J146" s="176"/>
      <c r="K146" s="266">
        <f>(33.8+20.9)*0.7</f>
        <v>38.28999999999999</v>
      </c>
      <c r="L146" s="419"/>
      <c r="M146" s="419"/>
      <c r="R146" s="178"/>
      <c r="T146" s="142"/>
      <c r="AC146" s="386"/>
    </row>
    <row r="147" spans="2:29" s="177" customFormat="1" ht="13.5" outlineLevel="1">
      <c r="B147" s="175"/>
      <c r="E147" s="319" t="s">
        <v>682</v>
      </c>
      <c r="F147" s="627" t="s">
        <v>839</v>
      </c>
      <c r="G147" s="628">
        <f>13.8*0.7</f>
        <v>9.66</v>
      </c>
      <c r="H147" s="628">
        <f>13.8*0.7</f>
        <v>9.66</v>
      </c>
      <c r="I147" s="628">
        <f>13.8*0.7</f>
        <v>9.66</v>
      </c>
      <c r="J147" s="176"/>
      <c r="K147" s="266">
        <f>13.8*0.7</f>
        <v>9.66</v>
      </c>
      <c r="L147" s="419"/>
      <c r="M147" s="419"/>
      <c r="R147" s="178"/>
      <c r="T147" s="142"/>
      <c r="AC147" s="386"/>
    </row>
    <row r="148" spans="2:20" ht="13.5" outlineLevel="1">
      <c r="B148" s="5"/>
      <c r="C148" s="261"/>
      <c r="D148" s="261" t="s">
        <v>64</v>
      </c>
      <c r="E148" s="262">
        <v>591411111</v>
      </c>
      <c r="F148" s="625" t="s">
        <v>685</v>
      </c>
      <c r="G148" s="625"/>
      <c r="H148" s="625"/>
      <c r="I148" s="625"/>
      <c r="J148" s="174" t="s">
        <v>65</v>
      </c>
      <c r="K148" s="264">
        <f>SUM(K149:K149)</f>
        <v>38.28999999999999</v>
      </c>
      <c r="L148" s="626"/>
      <c r="M148" s="626"/>
      <c r="N148" s="619">
        <f>ROUND(L148*K148,2)</f>
        <v>0</v>
      </c>
      <c r="O148" s="619"/>
      <c r="P148" s="619"/>
      <c r="Q148" s="619"/>
      <c r="R148" s="6"/>
      <c r="T148" s="142"/>
    </row>
    <row r="149" spans="2:29" s="177" customFormat="1" ht="13.5" outlineLevel="1">
      <c r="B149" s="175"/>
      <c r="E149" s="319" t="s">
        <v>680</v>
      </c>
      <c r="F149" s="627" t="s">
        <v>838</v>
      </c>
      <c r="G149" s="628">
        <f>(33.8+20.9)*0.7</f>
        <v>38.28999999999999</v>
      </c>
      <c r="H149" s="628">
        <f>(33.8+20.9)*0.7</f>
        <v>38.28999999999999</v>
      </c>
      <c r="I149" s="628">
        <f>(33.8+20.9)*0.7</f>
        <v>38.28999999999999</v>
      </c>
      <c r="J149" s="176"/>
      <c r="K149" s="266">
        <f>(33.8+20.9)*0.7</f>
        <v>38.28999999999999</v>
      </c>
      <c r="L149" s="419"/>
      <c r="M149" s="419"/>
      <c r="R149" s="178"/>
      <c r="T149" s="142"/>
      <c r="AC149" s="386"/>
    </row>
    <row r="150" spans="2:20" ht="13.5" outlineLevel="1">
      <c r="B150" s="5"/>
      <c r="C150" s="261"/>
      <c r="D150" s="261" t="s">
        <v>64</v>
      </c>
      <c r="E150" s="262">
        <v>596211110</v>
      </c>
      <c r="F150" s="625" t="s">
        <v>686</v>
      </c>
      <c r="G150" s="625"/>
      <c r="H150" s="625"/>
      <c r="I150" s="625"/>
      <c r="J150" s="174" t="s">
        <v>65</v>
      </c>
      <c r="K150" s="264">
        <f>SUM(K151:K151)</f>
        <v>9.66</v>
      </c>
      <c r="L150" s="626"/>
      <c r="M150" s="626"/>
      <c r="N150" s="619">
        <f>ROUND(L150*K150,2)</f>
        <v>0</v>
      </c>
      <c r="O150" s="619"/>
      <c r="P150" s="619"/>
      <c r="Q150" s="619"/>
      <c r="R150" s="6"/>
      <c r="T150" s="142"/>
    </row>
    <row r="151" spans="2:29" s="177" customFormat="1" ht="13.5" outlineLevel="1">
      <c r="B151" s="175"/>
      <c r="E151" s="319" t="s">
        <v>682</v>
      </c>
      <c r="F151" s="627" t="s">
        <v>839</v>
      </c>
      <c r="G151" s="628">
        <f>13.8*0.7</f>
        <v>9.66</v>
      </c>
      <c r="H151" s="628">
        <f>13.8*0.7</f>
        <v>9.66</v>
      </c>
      <c r="I151" s="628">
        <f>13.8*0.7</f>
        <v>9.66</v>
      </c>
      <c r="J151" s="176"/>
      <c r="K151" s="266">
        <f>13.8*0.7</f>
        <v>9.66</v>
      </c>
      <c r="L151" s="419"/>
      <c r="M151" s="419"/>
      <c r="R151" s="178"/>
      <c r="T151" s="142"/>
      <c r="AC151" s="386"/>
    </row>
    <row r="152" spans="2:29" s="143" customFormat="1" ht="12.75">
      <c r="B152" s="139"/>
      <c r="C152" s="140"/>
      <c r="D152" s="140" t="s">
        <v>677</v>
      </c>
      <c r="E152" s="140"/>
      <c r="F152" s="140"/>
      <c r="G152" s="140"/>
      <c r="H152" s="140"/>
      <c r="I152" s="140"/>
      <c r="J152" s="172"/>
      <c r="K152" s="140"/>
      <c r="L152" s="186"/>
      <c r="M152" s="186"/>
      <c r="N152" s="633">
        <f>SUM(N153:Q173)</f>
        <v>0</v>
      </c>
      <c r="O152" s="633"/>
      <c r="P152" s="633"/>
      <c r="Q152" s="633"/>
      <c r="R152" s="141"/>
      <c r="T152" s="142">
        <f>SUM(N152:Q173)/2</f>
        <v>0</v>
      </c>
      <c r="U152" s="177"/>
      <c r="V152" s="177"/>
      <c r="W152" s="177"/>
      <c r="X152" s="177"/>
      <c r="Y152" s="177"/>
      <c r="Z152" s="177"/>
      <c r="AA152" s="177"/>
      <c r="AB152" s="177"/>
      <c r="AC152" s="384"/>
    </row>
    <row r="153" spans="2:23" ht="27" customHeight="1" outlineLevel="1">
      <c r="B153" s="5"/>
      <c r="C153" s="261"/>
      <c r="D153" s="261" t="s">
        <v>64</v>
      </c>
      <c r="E153" s="262">
        <v>978011191</v>
      </c>
      <c r="F153" s="625" t="s">
        <v>691</v>
      </c>
      <c r="G153" s="625"/>
      <c r="H153" s="625"/>
      <c r="I153" s="625"/>
      <c r="J153" s="174" t="s">
        <v>65</v>
      </c>
      <c r="K153" s="264">
        <f>SUM(K154:K154)</f>
        <v>18.07</v>
      </c>
      <c r="L153" s="626"/>
      <c r="M153" s="626"/>
      <c r="N153" s="619">
        <f>ROUND(L153*K153,2)</f>
        <v>0</v>
      </c>
      <c r="O153" s="619"/>
      <c r="P153" s="619"/>
      <c r="Q153" s="619"/>
      <c r="R153" s="6"/>
      <c r="T153" s="142"/>
      <c r="V153" s="177">
        <v>0.03</v>
      </c>
      <c r="W153" s="177">
        <f>V153*K153</f>
        <v>0.5421</v>
      </c>
    </row>
    <row r="154" spans="2:29" s="177" customFormat="1" ht="13.5" outlineLevel="1">
      <c r="B154" s="175"/>
      <c r="E154" s="319" t="s">
        <v>693</v>
      </c>
      <c r="F154" s="627" t="s">
        <v>840</v>
      </c>
      <c r="G154" s="628">
        <f>6.86+11.21</f>
        <v>18.07</v>
      </c>
      <c r="H154" s="628">
        <f>6.86+11.21</f>
        <v>18.07</v>
      </c>
      <c r="I154" s="628">
        <f>6.86+11.21</f>
        <v>18.07</v>
      </c>
      <c r="J154" s="176"/>
      <c r="K154" s="266">
        <f>6.86+11.21</f>
        <v>18.07</v>
      </c>
      <c r="L154" s="419"/>
      <c r="M154" s="419"/>
      <c r="R154" s="178"/>
      <c r="T154" s="142"/>
      <c r="AC154" s="386"/>
    </row>
    <row r="155" spans="2:23" ht="27" customHeight="1" outlineLevel="1">
      <c r="B155" s="5"/>
      <c r="C155" s="261"/>
      <c r="D155" s="261" t="s">
        <v>64</v>
      </c>
      <c r="E155" s="262">
        <v>978013191</v>
      </c>
      <c r="F155" s="625" t="s">
        <v>358</v>
      </c>
      <c r="G155" s="625"/>
      <c r="H155" s="625"/>
      <c r="I155" s="625"/>
      <c r="J155" s="174" t="s">
        <v>65</v>
      </c>
      <c r="K155" s="264">
        <f>SUM(K156:K157)</f>
        <v>417.74</v>
      </c>
      <c r="L155" s="626"/>
      <c r="M155" s="626"/>
      <c r="N155" s="619">
        <f>ROUND(L155*K155,2)</f>
        <v>0</v>
      </c>
      <c r="O155" s="619"/>
      <c r="P155" s="619"/>
      <c r="Q155" s="619"/>
      <c r="R155" s="6"/>
      <c r="T155" s="142"/>
      <c r="V155" s="177">
        <v>0.03</v>
      </c>
      <c r="W155" s="177">
        <f>V155*K155</f>
        <v>12.5322</v>
      </c>
    </row>
    <row r="156" spans="2:29" s="177" customFormat="1" ht="13.5" outlineLevel="1">
      <c r="B156" s="175"/>
      <c r="E156" s="319" t="s">
        <v>692</v>
      </c>
      <c r="F156" s="627" t="s">
        <v>841</v>
      </c>
      <c r="G156" s="628" t="e">
        <f>(2.6+4.3+4.2+1.4)*2*F156</f>
        <v>#VALUE!</v>
      </c>
      <c r="H156" s="628" t="e">
        <f>(2.6+4.3+4.2+1.4)*2*G156</f>
        <v>#VALUE!</v>
      </c>
      <c r="I156" s="628" t="e">
        <f>(2.6+4.3+4.2+1.4)*2*H156</f>
        <v>#VALUE!</v>
      </c>
      <c r="J156" s="176">
        <v>2.1</v>
      </c>
      <c r="K156" s="266">
        <f>(2.6+4.3+4.2+1.4)*2*J156</f>
        <v>52.50000000000001</v>
      </c>
      <c r="L156" s="419"/>
      <c r="M156" s="419"/>
      <c r="R156" s="178"/>
      <c r="T156" s="142"/>
      <c r="AC156" s="386"/>
    </row>
    <row r="157" spans="2:29" s="177" customFormat="1" ht="42" customHeight="1" outlineLevel="1">
      <c r="B157" s="175"/>
      <c r="E157" s="319" t="s">
        <v>645</v>
      </c>
      <c r="F157" s="627" t="s">
        <v>842</v>
      </c>
      <c r="G157" s="628">
        <f>((6.66+3.62)*2+(4.57+6.66)*2+(4.9+3.7+1.3)*2+(5.9+3.7+4.7+5.9+6.1+6.6+6.3+3.2+5.6+5.4+4+2.5)*2)*2</f>
        <v>365.24</v>
      </c>
      <c r="H157" s="628">
        <f>((6.66+3.62)*2+(4.57+6.66)*2+(4.9+3.7+1.3)*2+(5.9+3.7+4.7+5.9+6.1+6.6+6.3+3.2+5.6+5.4+4+2.5)*2)*2</f>
        <v>365.24</v>
      </c>
      <c r="I157" s="628">
        <f>((6.66+3.62)*2+(4.57+6.66)*2+(4.9+3.7+1.3)*2+(5.9+3.7+4.7+5.9+6.1+6.6+6.3+3.2+5.6+5.4+4+2.5)*2)*2</f>
        <v>365.24</v>
      </c>
      <c r="J157" s="176">
        <v>2</v>
      </c>
      <c r="K157" s="266">
        <f>((6.66+3.62)*2+(4.57+6.66)*2+(4.9+3.7+1.3)*2+(5.9+3.7+4.7+5.9+6.1+6.6+6.3+3.2+5.6+5.4+4+2.5)*2)*J157</f>
        <v>365.24</v>
      </c>
      <c r="L157" s="419"/>
      <c r="M157" s="419"/>
      <c r="R157" s="178"/>
      <c r="T157" s="142"/>
      <c r="AC157" s="386"/>
    </row>
    <row r="158" spans="2:28" ht="27" customHeight="1" outlineLevel="1">
      <c r="B158" s="5"/>
      <c r="C158" s="261"/>
      <c r="D158" s="261" t="s">
        <v>64</v>
      </c>
      <c r="E158" s="262">
        <v>978015391</v>
      </c>
      <c r="F158" s="625" t="s">
        <v>361</v>
      </c>
      <c r="G158" s="625"/>
      <c r="H158" s="625"/>
      <c r="I158" s="625"/>
      <c r="J158" s="174" t="s">
        <v>65</v>
      </c>
      <c r="K158" s="264">
        <f>SUM(K159:K159)</f>
        <v>199.6</v>
      </c>
      <c r="L158" s="626"/>
      <c r="M158" s="626"/>
      <c r="N158" s="619">
        <f>ROUND(L158*K158,2)</f>
        <v>0</v>
      </c>
      <c r="O158" s="619"/>
      <c r="P158" s="619"/>
      <c r="Q158" s="619"/>
      <c r="R158" s="6"/>
      <c r="T158" s="142"/>
      <c r="V158" s="177">
        <v>0.04</v>
      </c>
      <c r="W158" s="177">
        <f>V158*K158</f>
        <v>7.984</v>
      </c>
      <c r="X158" s="4"/>
      <c r="Y158" s="4"/>
      <c r="Z158" s="4"/>
      <c r="AA158" s="4"/>
      <c r="AB158" s="4"/>
    </row>
    <row r="159" spans="2:29" s="177" customFormat="1" ht="13.5" outlineLevel="1">
      <c r="B159" s="175"/>
      <c r="E159" s="319" t="s">
        <v>689</v>
      </c>
      <c r="F159" s="627" t="s">
        <v>843</v>
      </c>
      <c r="G159" s="628" t="e">
        <f>(20.2+8.2+32.7+19+12.5+7.2)*F159</f>
        <v>#VALUE!</v>
      </c>
      <c r="H159" s="628" t="e">
        <f>(20.2+8.2+32.7+19+12.5+7.2)*G159</f>
        <v>#VALUE!</v>
      </c>
      <c r="I159" s="628" t="e">
        <f>(20.2+8.2+32.7+19+12.5+7.2)*H159</f>
        <v>#VALUE!</v>
      </c>
      <c r="J159" s="176">
        <v>2</v>
      </c>
      <c r="K159" s="266">
        <f>(20.2+8.2+32.7+19+12.5+7.2)*J159</f>
        <v>199.6</v>
      </c>
      <c r="L159" s="419"/>
      <c r="M159" s="419"/>
      <c r="R159" s="178"/>
      <c r="T159" s="142"/>
      <c r="AC159" s="386"/>
    </row>
    <row r="160" spans="2:23" ht="13.5" outlineLevel="1">
      <c r="B160" s="5"/>
      <c r="C160" s="261"/>
      <c r="D160" s="261" t="s">
        <v>64</v>
      </c>
      <c r="E160" s="262">
        <v>978023411</v>
      </c>
      <c r="F160" s="625" t="s">
        <v>362</v>
      </c>
      <c r="G160" s="625"/>
      <c r="H160" s="625"/>
      <c r="I160" s="625"/>
      <c r="J160" s="174" t="s">
        <v>65</v>
      </c>
      <c r="K160" s="264">
        <f>SUM(K161:K164)</f>
        <v>710.0350000000001</v>
      </c>
      <c r="L160" s="626"/>
      <c r="M160" s="626"/>
      <c r="N160" s="619">
        <f>ROUND(L160*K160,2)</f>
        <v>0</v>
      </c>
      <c r="O160" s="619"/>
      <c r="P160" s="619"/>
      <c r="Q160" s="619"/>
      <c r="R160" s="6"/>
      <c r="T160" s="142"/>
      <c r="V160" s="177">
        <v>0.001</v>
      </c>
      <c r="W160" s="177">
        <f>V160*K160</f>
        <v>0.7100350000000001</v>
      </c>
    </row>
    <row r="161" spans="2:29" s="177" customFormat="1" ht="13.5" outlineLevel="1">
      <c r="B161" s="175"/>
      <c r="E161" s="319" t="s">
        <v>689</v>
      </c>
      <c r="F161" s="627" t="s">
        <v>194</v>
      </c>
      <c r="G161" s="628"/>
      <c r="H161" s="628"/>
      <c r="I161" s="628"/>
      <c r="J161" s="176"/>
      <c r="K161" s="266">
        <f>K158</f>
        <v>199.6</v>
      </c>
      <c r="L161" s="419"/>
      <c r="M161" s="419"/>
      <c r="R161" s="178"/>
      <c r="T161" s="142"/>
      <c r="AC161" s="386"/>
    </row>
    <row r="162" spans="2:29" s="177" customFormat="1" ht="13.5" outlineLevel="1">
      <c r="B162" s="175"/>
      <c r="E162" s="319" t="s">
        <v>690</v>
      </c>
      <c r="F162" s="627" t="s">
        <v>844</v>
      </c>
      <c r="G162" s="628">
        <f>20.2*0.7+(8.2+32.7+19)*0.5+(12.5+7.2)*(1.1+2)/2</f>
        <v>74.625</v>
      </c>
      <c r="H162" s="628">
        <f>20.2*0.7+(8.2+32.7+19)*0.5+(12.5+7.2)*(1.1+2)/2</f>
        <v>74.625</v>
      </c>
      <c r="I162" s="628">
        <f>20.2*0.7+(8.2+32.7+19)*0.5+(12.5+7.2)*(1.1+2)/2</f>
        <v>74.625</v>
      </c>
      <c r="J162" s="176"/>
      <c r="K162" s="266">
        <f>20.2*0.7+(8.2+32.7+19)*0.5+(12.5+7.2)*(1.1+2)/2</f>
        <v>74.625</v>
      </c>
      <c r="L162" s="419"/>
      <c r="M162" s="419"/>
      <c r="R162" s="178"/>
      <c r="T162" s="142"/>
      <c r="AC162" s="386"/>
    </row>
    <row r="163" spans="2:29" s="177" customFormat="1" ht="13.5" outlineLevel="1">
      <c r="B163" s="175"/>
      <c r="E163" s="319" t="s">
        <v>694</v>
      </c>
      <c r="F163" s="627" t="s">
        <v>194</v>
      </c>
      <c r="G163" s="628"/>
      <c r="H163" s="628"/>
      <c r="I163" s="628"/>
      <c r="J163" s="176"/>
      <c r="K163" s="266">
        <f>K155</f>
        <v>417.74</v>
      </c>
      <c r="L163" s="419"/>
      <c r="M163" s="419"/>
      <c r="R163" s="178"/>
      <c r="T163" s="142"/>
      <c r="AC163" s="386"/>
    </row>
    <row r="164" spans="2:29" s="177" customFormat="1" ht="13.5" outlineLevel="1">
      <c r="B164" s="175"/>
      <c r="E164" s="319" t="s">
        <v>695</v>
      </c>
      <c r="F164" s="627" t="s">
        <v>194</v>
      </c>
      <c r="G164" s="628"/>
      <c r="H164" s="628"/>
      <c r="I164" s="628"/>
      <c r="J164" s="176"/>
      <c r="K164" s="266">
        <f>K153</f>
        <v>18.07</v>
      </c>
      <c r="L164" s="419"/>
      <c r="M164" s="419"/>
      <c r="R164" s="178"/>
      <c r="T164" s="142"/>
      <c r="AC164" s="386"/>
    </row>
    <row r="165" spans="2:20" ht="13.5" outlineLevel="1">
      <c r="B165" s="5"/>
      <c r="C165" s="261"/>
      <c r="D165" s="261" t="s">
        <v>64</v>
      </c>
      <c r="E165" s="262" t="s">
        <v>700</v>
      </c>
      <c r="F165" s="625" t="s">
        <v>701</v>
      </c>
      <c r="G165" s="625"/>
      <c r="H165" s="625"/>
      <c r="I165" s="625"/>
      <c r="J165" s="174" t="s">
        <v>70</v>
      </c>
      <c r="K165" s="264">
        <f>SUM(K166:K169)</f>
        <v>13.649999999999999</v>
      </c>
      <c r="L165" s="626"/>
      <c r="M165" s="626"/>
      <c r="N165" s="619">
        <f>ROUND(L165*K165,2)</f>
        <v>0</v>
      </c>
      <c r="O165" s="619"/>
      <c r="P165" s="619"/>
      <c r="Q165" s="619"/>
      <c r="R165" s="6"/>
      <c r="T165" s="142"/>
    </row>
    <row r="166" spans="2:29" s="177" customFormat="1" ht="13.5" outlineLevel="1">
      <c r="B166" s="175"/>
      <c r="E166" s="319" t="s">
        <v>696</v>
      </c>
      <c r="F166" s="627" t="s">
        <v>845</v>
      </c>
      <c r="G166" s="628" t="e">
        <f>2*F166</f>
        <v>#VALUE!</v>
      </c>
      <c r="H166" s="628" t="e">
        <f>2*G166</f>
        <v>#VALUE!</v>
      </c>
      <c r="I166" s="628" t="e">
        <f>2*H166</f>
        <v>#VALUE!</v>
      </c>
      <c r="J166" s="176">
        <v>0.45</v>
      </c>
      <c r="K166" s="266">
        <f>2*J166</f>
        <v>0.9</v>
      </c>
      <c r="L166" s="419"/>
      <c r="M166" s="419"/>
      <c r="R166" s="178"/>
      <c r="T166" s="142"/>
      <c r="AC166" s="386"/>
    </row>
    <row r="167" spans="2:29" s="177" customFormat="1" ht="13.5" outlineLevel="1">
      <c r="B167" s="175"/>
      <c r="E167" s="319" t="s">
        <v>696</v>
      </c>
      <c r="F167" s="627" t="s">
        <v>846</v>
      </c>
      <c r="G167" s="628" t="e">
        <f>3*F167</f>
        <v>#VALUE!</v>
      </c>
      <c r="H167" s="628" t="e">
        <f>3*G167</f>
        <v>#VALUE!</v>
      </c>
      <c r="I167" s="628" t="e">
        <f>3*H167</f>
        <v>#VALUE!</v>
      </c>
      <c r="J167" s="176">
        <v>0.6</v>
      </c>
      <c r="K167" s="266">
        <f>3*J167</f>
        <v>1.7999999999999998</v>
      </c>
      <c r="L167" s="419"/>
      <c r="M167" s="419"/>
      <c r="R167" s="178"/>
      <c r="T167" s="142"/>
      <c r="AC167" s="386"/>
    </row>
    <row r="168" spans="2:29" s="177" customFormat="1" ht="13.5" outlineLevel="1">
      <c r="B168" s="175"/>
      <c r="E168" s="319" t="s">
        <v>696</v>
      </c>
      <c r="F168" s="627" t="s">
        <v>847</v>
      </c>
      <c r="G168" s="628" t="e">
        <f>5*F168</f>
        <v>#VALUE!</v>
      </c>
      <c r="H168" s="628" t="e">
        <f>5*G168</f>
        <v>#VALUE!</v>
      </c>
      <c r="I168" s="628" t="e">
        <f>5*H168</f>
        <v>#VALUE!</v>
      </c>
      <c r="J168" s="176">
        <v>0.75</v>
      </c>
      <c r="K168" s="266">
        <f>5*J168</f>
        <v>3.75</v>
      </c>
      <c r="L168" s="419"/>
      <c r="M168" s="419"/>
      <c r="R168" s="178"/>
      <c r="T168" s="142"/>
      <c r="AC168" s="386"/>
    </row>
    <row r="169" spans="2:29" s="177" customFormat="1" ht="13.5" outlineLevel="1">
      <c r="B169" s="175"/>
      <c r="E169" s="319" t="s">
        <v>696</v>
      </c>
      <c r="F169" s="627" t="s">
        <v>848</v>
      </c>
      <c r="G169" s="628" t="e">
        <f>8*F169</f>
        <v>#VALUE!</v>
      </c>
      <c r="H169" s="628" t="e">
        <f>8*G169</f>
        <v>#VALUE!</v>
      </c>
      <c r="I169" s="628" t="e">
        <f>8*H169</f>
        <v>#VALUE!</v>
      </c>
      <c r="J169" s="176">
        <v>0.9</v>
      </c>
      <c r="K169" s="266">
        <f>8*J169</f>
        <v>7.2</v>
      </c>
      <c r="L169" s="419"/>
      <c r="M169" s="419"/>
      <c r="R169" s="178"/>
      <c r="T169" s="142"/>
      <c r="AC169" s="386"/>
    </row>
    <row r="170" spans="2:23" ht="13.5" outlineLevel="1">
      <c r="B170" s="5"/>
      <c r="C170" s="261"/>
      <c r="D170" s="261" t="s">
        <v>64</v>
      </c>
      <c r="E170" s="262" t="s">
        <v>697</v>
      </c>
      <c r="F170" s="625" t="s">
        <v>698</v>
      </c>
      <c r="G170" s="625"/>
      <c r="H170" s="625"/>
      <c r="I170" s="625"/>
      <c r="J170" s="174" t="s">
        <v>70</v>
      </c>
      <c r="K170" s="264">
        <f>SUM(K171:K171)</f>
        <v>4.5</v>
      </c>
      <c r="L170" s="626"/>
      <c r="M170" s="626"/>
      <c r="N170" s="619">
        <f>ROUND(L170*K170,2)</f>
        <v>0</v>
      </c>
      <c r="O170" s="619"/>
      <c r="P170" s="619"/>
      <c r="Q170" s="619"/>
      <c r="R170" s="6"/>
      <c r="T170" s="142"/>
      <c r="V170" s="177">
        <f>0.15*0.15</f>
        <v>0.0225</v>
      </c>
      <c r="W170" s="177">
        <f>V170*K170</f>
        <v>0.10124999999999999</v>
      </c>
    </row>
    <row r="171" spans="2:29" s="177" customFormat="1" ht="22.5" outlineLevel="1">
      <c r="B171" s="175"/>
      <c r="E171" s="319" t="s">
        <v>699</v>
      </c>
      <c r="F171" s="627" t="s">
        <v>849</v>
      </c>
      <c r="G171" s="628">
        <f>9*0.5</f>
        <v>4.5</v>
      </c>
      <c r="H171" s="628">
        <f>9*0.5</f>
        <v>4.5</v>
      </c>
      <c r="I171" s="628">
        <f>9*0.5</f>
        <v>4.5</v>
      </c>
      <c r="J171" s="176"/>
      <c r="K171" s="266">
        <f>9*0.5</f>
        <v>4.5</v>
      </c>
      <c r="L171" s="419"/>
      <c r="M171" s="419"/>
      <c r="R171" s="178"/>
      <c r="T171" s="142"/>
      <c r="AC171" s="386"/>
    </row>
    <row r="172" spans="2:20" ht="13.5" outlineLevel="1">
      <c r="B172" s="5"/>
      <c r="C172" s="261"/>
      <c r="D172" s="261"/>
      <c r="E172" s="262">
        <v>612135101</v>
      </c>
      <c r="F172" s="625" t="s">
        <v>780</v>
      </c>
      <c r="G172" s="625"/>
      <c r="H172" s="625"/>
      <c r="I172" s="625"/>
      <c r="J172" s="174" t="s">
        <v>65</v>
      </c>
      <c r="K172" s="264">
        <f>SUM(K173:K173)</f>
        <v>0.6749999999999999</v>
      </c>
      <c r="L172" s="626"/>
      <c r="M172" s="626"/>
      <c r="N172" s="619">
        <f>ROUND(L172*K172,2)</f>
        <v>0</v>
      </c>
      <c r="O172" s="619"/>
      <c r="P172" s="619"/>
      <c r="Q172" s="619"/>
      <c r="R172" s="6"/>
      <c r="T172" s="142"/>
    </row>
    <row r="173" spans="2:29" s="177" customFormat="1" ht="22.5" outlineLevel="1">
      <c r="B173" s="175"/>
      <c r="E173" s="319" t="s">
        <v>699</v>
      </c>
      <c r="F173" s="627" t="s">
        <v>850</v>
      </c>
      <c r="G173" s="628" t="e">
        <f>9*0.5*F173</f>
        <v>#VALUE!</v>
      </c>
      <c r="H173" s="628" t="e">
        <f>9*0.5*G173</f>
        <v>#VALUE!</v>
      </c>
      <c r="I173" s="628" t="e">
        <f>9*0.5*H173</f>
        <v>#VALUE!</v>
      </c>
      <c r="J173" s="176">
        <v>0.15</v>
      </c>
      <c r="K173" s="266">
        <f>9*0.5*J173</f>
        <v>0.6749999999999999</v>
      </c>
      <c r="L173" s="419"/>
      <c r="M173" s="419"/>
      <c r="R173" s="178"/>
      <c r="T173" s="142"/>
      <c r="AC173" s="386"/>
    </row>
    <row r="174" spans="2:29" s="143" customFormat="1" ht="12.75">
      <c r="B174" s="139"/>
      <c r="C174" s="140"/>
      <c r="D174" s="140" t="s">
        <v>678</v>
      </c>
      <c r="E174" s="140"/>
      <c r="F174" s="140"/>
      <c r="G174" s="140"/>
      <c r="H174" s="140"/>
      <c r="I174" s="140"/>
      <c r="J174" s="172"/>
      <c r="K174" s="140"/>
      <c r="L174" s="186"/>
      <c r="M174" s="186"/>
      <c r="N174" s="633">
        <f>SUM(N175:Q344)</f>
        <v>0</v>
      </c>
      <c r="O174" s="633"/>
      <c r="P174" s="633"/>
      <c r="Q174" s="633"/>
      <c r="R174" s="141"/>
      <c r="T174" s="142">
        <f>SUM(N174:Q344)/2</f>
        <v>0</v>
      </c>
      <c r="U174" s="177"/>
      <c r="V174" s="177"/>
      <c r="W174" s="177"/>
      <c r="X174" s="177"/>
      <c r="Y174" s="177"/>
      <c r="Z174" s="177"/>
      <c r="AA174" s="177"/>
      <c r="AB174" s="177"/>
      <c r="AC174" s="384"/>
    </row>
    <row r="175" spans="2:20" ht="13.5" outlineLevel="1">
      <c r="B175" s="5"/>
      <c r="C175" s="261"/>
      <c r="D175" s="261" t="s">
        <v>64</v>
      </c>
      <c r="E175" s="262">
        <v>985131311</v>
      </c>
      <c r="F175" s="625" t="s">
        <v>702</v>
      </c>
      <c r="G175" s="625"/>
      <c r="H175" s="625"/>
      <c r="I175" s="625"/>
      <c r="J175" s="174" t="s">
        <v>65</v>
      </c>
      <c r="K175" s="264">
        <f>K160</f>
        <v>710.0350000000001</v>
      </c>
      <c r="L175" s="626"/>
      <c r="M175" s="626"/>
      <c r="N175" s="619">
        <f>ROUND(L175*K175,2)</f>
        <v>0</v>
      </c>
      <c r="O175" s="619"/>
      <c r="P175" s="619"/>
      <c r="Q175" s="619"/>
      <c r="R175" s="6"/>
      <c r="T175" s="142"/>
    </row>
    <row r="176" spans="2:29" s="324" customFormat="1" ht="13.5" outlineLevel="1">
      <c r="B176" s="322"/>
      <c r="C176" s="327"/>
      <c r="D176" s="327" t="s">
        <v>687</v>
      </c>
      <c r="E176" s="648" t="s">
        <v>688</v>
      </c>
      <c r="F176" s="649"/>
      <c r="G176" s="649"/>
      <c r="H176" s="649"/>
      <c r="I176" s="650"/>
      <c r="J176" s="328"/>
      <c r="K176" s="329">
        <f>(12.3+7.6)*(1.1+2)/2</f>
        <v>30.845</v>
      </c>
      <c r="L176" s="654"/>
      <c r="M176" s="654"/>
      <c r="N176" s="655"/>
      <c r="O176" s="655"/>
      <c r="P176" s="655"/>
      <c r="Q176" s="655"/>
      <c r="R176" s="323"/>
      <c r="T176" s="325"/>
      <c r="U176" s="326"/>
      <c r="V176" s="326"/>
      <c r="W176" s="326"/>
      <c r="X176" s="326"/>
      <c r="Y176" s="326"/>
      <c r="Z176" s="326"/>
      <c r="AA176" s="326"/>
      <c r="AB176" s="326"/>
      <c r="AC176" s="390"/>
    </row>
    <row r="177" spans="2:29" s="410" customFormat="1" ht="13.5" outlineLevel="1">
      <c r="B177" s="409"/>
      <c r="E177" s="414" t="s">
        <v>2285</v>
      </c>
      <c r="F177" s="646" t="s">
        <v>2286</v>
      </c>
      <c r="G177" s="647">
        <f aca="true" t="shared" si="1" ref="G177:I177">(12.3+7.6)*(1.1+2)/2</f>
        <v>30.845</v>
      </c>
      <c r="H177" s="647">
        <f t="shared" si="1"/>
        <v>30.845</v>
      </c>
      <c r="I177" s="647">
        <f t="shared" si="1"/>
        <v>30.845</v>
      </c>
      <c r="J177" s="415"/>
      <c r="K177" s="416">
        <f>(12.3+7.6)*(1.1+2)/2</f>
        <v>30.845</v>
      </c>
      <c r="L177" s="420"/>
      <c r="M177" s="420"/>
      <c r="R177" s="411"/>
      <c r="T177" s="412"/>
      <c r="AC177" s="413"/>
    </row>
    <row r="178" spans="2:20" ht="13.5" outlineLevel="1">
      <c r="B178" s="5"/>
      <c r="C178" s="261"/>
      <c r="D178" s="261" t="s">
        <v>64</v>
      </c>
      <c r="E178" s="262">
        <v>985311112</v>
      </c>
      <c r="F178" s="625" t="s">
        <v>703</v>
      </c>
      <c r="G178" s="625"/>
      <c r="H178" s="625"/>
      <c r="I178" s="625"/>
      <c r="J178" s="174" t="s">
        <v>65</v>
      </c>
      <c r="K178" s="264">
        <f>K176</f>
        <v>30.845</v>
      </c>
      <c r="L178" s="626"/>
      <c r="M178" s="626"/>
      <c r="N178" s="619">
        <f>ROUND(L178*K178,2)</f>
        <v>0</v>
      </c>
      <c r="O178" s="619"/>
      <c r="P178" s="619"/>
      <c r="Q178" s="619"/>
      <c r="R178" s="6"/>
      <c r="T178" s="142"/>
    </row>
    <row r="179" spans="2:28" ht="27" customHeight="1" outlineLevel="1">
      <c r="B179" s="5"/>
      <c r="C179" s="261"/>
      <c r="D179" s="261" t="s">
        <v>64</v>
      </c>
      <c r="E179" s="262">
        <v>711191201</v>
      </c>
      <c r="F179" s="625" t="s">
        <v>419</v>
      </c>
      <c r="G179" s="625"/>
      <c r="H179" s="625"/>
      <c r="I179" s="625"/>
      <c r="J179" s="174" t="s">
        <v>65</v>
      </c>
      <c r="K179" s="264">
        <f>SUM(K180:K180)</f>
        <v>15.92</v>
      </c>
      <c r="L179" s="626"/>
      <c r="M179" s="626"/>
      <c r="N179" s="619">
        <f>ROUND(L179*K179,2)</f>
        <v>0</v>
      </c>
      <c r="O179" s="619"/>
      <c r="P179" s="619"/>
      <c r="Q179" s="619"/>
      <c r="R179" s="6"/>
      <c r="T179" s="142"/>
      <c r="V179" s="4"/>
      <c r="W179" s="4"/>
      <c r="X179" s="4"/>
      <c r="Y179" s="4"/>
      <c r="Z179" s="4"/>
      <c r="AA179" s="4"/>
      <c r="AB179" s="4"/>
    </row>
    <row r="180" spans="2:29" s="177" customFormat="1" ht="13.5" outlineLevel="1">
      <c r="B180" s="175"/>
      <c r="E180" s="319" t="s">
        <v>704</v>
      </c>
      <c r="F180" s="627" t="s">
        <v>851</v>
      </c>
      <c r="G180" s="628">
        <f>(12.3+7.6)*0.8</f>
        <v>15.92</v>
      </c>
      <c r="H180" s="628">
        <f>(12.3+7.6)*0.8</f>
        <v>15.92</v>
      </c>
      <c r="I180" s="628">
        <f>(12.3+7.6)*0.8</f>
        <v>15.92</v>
      </c>
      <c r="J180" s="176"/>
      <c r="K180" s="266">
        <f>(12.3+7.6)*0.8</f>
        <v>15.92</v>
      </c>
      <c r="L180" s="419"/>
      <c r="M180" s="419"/>
      <c r="R180" s="178"/>
      <c r="T180" s="142"/>
      <c r="AC180" s="386"/>
    </row>
    <row r="181" spans="2:20" ht="13.5" outlineLevel="1">
      <c r="B181" s="5"/>
      <c r="C181" s="261"/>
      <c r="D181" s="261" t="s">
        <v>64</v>
      </c>
      <c r="E181" s="262">
        <v>711192202</v>
      </c>
      <c r="F181" s="625" t="s">
        <v>418</v>
      </c>
      <c r="G181" s="625"/>
      <c r="H181" s="625"/>
      <c r="I181" s="625"/>
      <c r="J181" s="174" t="s">
        <v>65</v>
      </c>
      <c r="K181" s="264">
        <f>K176</f>
        <v>30.845</v>
      </c>
      <c r="L181" s="626"/>
      <c r="M181" s="626"/>
      <c r="N181" s="619">
        <f>ROUND(L181*K181,2)</f>
        <v>0</v>
      </c>
      <c r="O181" s="619"/>
      <c r="P181" s="619"/>
      <c r="Q181" s="619"/>
      <c r="R181" s="6"/>
      <c r="T181" s="142"/>
    </row>
    <row r="182" spans="2:20" ht="13.5" outlineLevel="1">
      <c r="B182" s="5"/>
      <c r="C182" s="261"/>
      <c r="D182" s="261" t="s">
        <v>64</v>
      </c>
      <c r="E182" s="262">
        <v>711199101</v>
      </c>
      <c r="F182" s="625" t="s">
        <v>705</v>
      </c>
      <c r="G182" s="625"/>
      <c r="H182" s="625"/>
      <c r="I182" s="625"/>
      <c r="J182" s="174" t="s">
        <v>70</v>
      </c>
      <c r="K182" s="264">
        <f>SUM(K183:K184)</f>
        <v>24.549999999999997</v>
      </c>
      <c r="L182" s="626"/>
      <c r="M182" s="626"/>
      <c r="N182" s="619">
        <f>ROUND(L182*K182,2)</f>
        <v>0</v>
      </c>
      <c r="O182" s="619"/>
      <c r="P182" s="619"/>
      <c r="Q182" s="619"/>
      <c r="R182" s="6"/>
      <c r="T182" s="142"/>
    </row>
    <row r="183" spans="2:29" s="177" customFormat="1" ht="13.5" outlineLevel="1">
      <c r="B183" s="175"/>
      <c r="E183" s="319" t="s">
        <v>706</v>
      </c>
      <c r="F183" s="627" t="s">
        <v>852</v>
      </c>
      <c r="G183" s="628">
        <f>(12.3+7.6)</f>
        <v>19.9</v>
      </c>
      <c r="H183" s="628">
        <f>(12.3+7.6)</f>
        <v>19.9</v>
      </c>
      <c r="I183" s="628">
        <f>(12.3+7.6)</f>
        <v>19.9</v>
      </c>
      <c r="J183" s="176"/>
      <c r="K183" s="266">
        <f>(12.3+7.6)</f>
        <v>19.9</v>
      </c>
      <c r="L183" s="419"/>
      <c r="M183" s="419"/>
      <c r="R183" s="178"/>
      <c r="T183" s="142"/>
      <c r="AC183" s="386"/>
    </row>
    <row r="184" spans="2:29" s="177" customFormat="1" ht="13.5" outlineLevel="1">
      <c r="B184" s="175"/>
      <c r="E184" s="319" t="s">
        <v>707</v>
      </c>
      <c r="F184" s="627" t="s">
        <v>853</v>
      </c>
      <c r="G184" s="628">
        <f>(1.1+2)/2*3</f>
        <v>4.65</v>
      </c>
      <c r="H184" s="628">
        <f>(1.1+2)/2*3</f>
        <v>4.65</v>
      </c>
      <c r="I184" s="628">
        <f>(1.1+2)/2*3</f>
        <v>4.65</v>
      </c>
      <c r="J184" s="176"/>
      <c r="K184" s="266">
        <f>(1.1+2)/2*3</f>
        <v>4.65</v>
      </c>
      <c r="L184" s="419"/>
      <c r="M184" s="419"/>
      <c r="R184" s="178"/>
      <c r="T184" s="142"/>
      <c r="AC184" s="386"/>
    </row>
    <row r="185" spans="2:28" ht="11.25" customHeight="1" outlineLevel="1">
      <c r="B185" s="5"/>
      <c r="C185" s="267"/>
      <c r="D185" s="267" t="s">
        <v>67</v>
      </c>
      <c r="E185" s="320" t="s">
        <v>718</v>
      </c>
      <c r="F185" s="651" t="s">
        <v>719</v>
      </c>
      <c r="G185" s="651"/>
      <c r="H185" s="651"/>
      <c r="I185" s="651"/>
      <c r="J185" s="179" t="s">
        <v>420</v>
      </c>
      <c r="K185" s="268">
        <f>SUM(K186:K186)</f>
        <v>185.18940000000003</v>
      </c>
      <c r="L185" s="652"/>
      <c r="M185" s="652"/>
      <c r="N185" s="653">
        <f>ROUND(L185*K185,2)</f>
        <v>0</v>
      </c>
      <c r="O185" s="619"/>
      <c r="P185" s="619"/>
      <c r="Q185" s="619"/>
      <c r="R185" s="6"/>
      <c r="T185" s="142"/>
      <c r="V185" s="4"/>
      <c r="W185" s="4"/>
      <c r="X185" s="4"/>
      <c r="Y185" s="4"/>
      <c r="Z185" s="4"/>
      <c r="AA185" s="4"/>
      <c r="AB185" s="4"/>
    </row>
    <row r="186" spans="2:29" s="177" customFormat="1" ht="13.5" outlineLevel="1">
      <c r="B186" s="175"/>
      <c r="E186" s="319" t="s">
        <v>708</v>
      </c>
      <c r="F186" s="627" t="s">
        <v>711</v>
      </c>
      <c r="G186" s="628"/>
      <c r="H186" s="628"/>
      <c r="I186" s="628"/>
      <c r="J186" s="176">
        <f>1.8*2*1.1</f>
        <v>3.9600000000000004</v>
      </c>
      <c r="K186" s="266">
        <f>(K179+K181)*J186</f>
        <v>185.18940000000003</v>
      </c>
      <c r="L186" s="419"/>
      <c r="M186" s="419"/>
      <c r="R186" s="178"/>
      <c r="T186" s="142"/>
      <c r="AC186" s="386"/>
    </row>
    <row r="187" spans="2:28" ht="11.25" customHeight="1" outlineLevel="1">
      <c r="B187" s="5"/>
      <c r="C187" s="267"/>
      <c r="D187" s="267" t="s">
        <v>67</v>
      </c>
      <c r="E187" s="320" t="s">
        <v>709</v>
      </c>
      <c r="F187" s="651" t="s">
        <v>710</v>
      </c>
      <c r="G187" s="651"/>
      <c r="H187" s="651"/>
      <c r="I187" s="651"/>
      <c r="J187" s="179" t="s">
        <v>70</v>
      </c>
      <c r="K187" s="268">
        <f>SUM(K188:K190)</f>
        <v>27.004999999999995</v>
      </c>
      <c r="L187" s="652"/>
      <c r="M187" s="652"/>
      <c r="N187" s="653">
        <f>ROUND(L187*K187,2)</f>
        <v>0</v>
      </c>
      <c r="O187" s="619"/>
      <c r="P187" s="619"/>
      <c r="Q187" s="619"/>
      <c r="R187" s="6"/>
      <c r="T187" s="142"/>
      <c r="V187" s="4"/>
      <c r="W187" s="4"/>
      <c r="X187" s="4"/>
      <c r="Y187" s="4"/>
      <c r="Z187" s="4"/>
      <c r="AA187" s="4"/>
      <c r="AB187" s="4"/>
    </row>
    <row r="188" spans="2:29" s="177" customFormat="1" ht="13.5" outlineLevel="1">
      <c r="B188" s="175"/>
      <c r="E188" s="319" t="s">
        <v>706</v>
      </c>
      <c r="F188" s="627" t="s">
        <v>852</v>
      </c>
      <c r="G188" s="628">
        <f>(12.3+7.6)</f>
        <v>19.9</v>
      </c>
      <c r="H188" s="628">
        <f>(12.3+7.6)</f>
        <v>19.9</v>
      </c>
      <c r="I188" s="628">
        <f>(12.3+7.6)</f>
        <v>19.9</v>
      </c>
      <c r="J188" s="176"/>
      <c r="K188" s="266">
        <f>(12.3+7.6)</f>
        <v>19.9</v>
      </c>
      <c r="L188" s="419"/>
      <c r="M188" s="419"/>
      <c r="R188" s="178"/>
      <c r="T188" s="142"/>
      <c r="AC188" s="386"/>
    </row>
    <row r="189" spans="2:29" s="177" customFormat="1" ht="13.5" outlineLevel="1">
      <c r="B189" s="175"/>
      <c r="E189" s="319" t="s">
        <v>707</v>
      </c>
      <c r="F189" s="627" t="s">
        <v>853</v>
      </c>
      <c r="G189" s="628">
        <f>(1.1+2)/2*3</f>
        <v>4.65</v>
      </c>
      <c r="H189" s="628">
        <f>(1.1+2)/2*3</f>
        <v>4.65</v>
      </c>
      <c r="I189" s="628">
        <f>(1.1+2)/2*3</f>
        <v>4.65</v>
      </c>
      <c r="J189" s="176"/>
      <c r="K189" s="266">
        <f>(1.1+2)/2*3</f>
        <v>4.65</v>
      </c>
      <c r="L189" s="419"/>
      <c r="M189" s="419"/>
      <c r="R189" s="178"/>
      <c r="T189" s="142"/>
      <c r="AC189" s="386"/>
    </row>
    <row r="190" spans="2:29" s="177" customFormat="1" ht="22.5" outlineLevel="1">
      <c r="B190" s="175"/>
      <c r="E190" s="319" t="s">
        <v>712</v>
      </c>
      <c r="F190" s="627"/>
      <c r="G190" s="628"/>
      <c r="H190" s="628"/>
      <c r="I190" s="628"/>
      <c r="J190" s="314">
        <v>0.1</v>
      </c>
      <c r="K190" s="266">
        <f>SUM(K188:K189)*J190</f>
        <v>2.455</v>
      </c>
      <c r="L190" s="419"/>
      <c r="M190" s="419"/>
      <c r="R190" s="178"/>
      <c r="T190" s="142"/>
      <c r="AC190" s="386"/>
    </row>
    <row r="191" spans="2:20" ht="13.5" outlineLevel="1">
      <c r="B191" s="5"/>
      <c r="C191" s="261"/>
      <c r="D191" s="261" t="s">
        <v>64</v>
      </c>
      <c r="E191" s="262" t="s">
        <v>713</v>
      </c>
      <c r="F191" s="625" t="s">
        <v>714</v>
      </c>
      <c r="G191" s="625"/>
      <c r="H191" s="625"/>
      <c r="I191" s="625"/>
      <c r="J191" s="174" t="s">
        <v>65</v>
      </c>
      <c r="K191" s="264">
        <f>K176</f>
        <v>30.845</v>
      </c>
      <c r="L191" s="626"/>
      <c r="M191" s="626"/>
      <c r="N191" s="619">
        <f>ROUND(L191*K191,2)</f>
        <v>0</v>
      </c>
      <c r="O191" s="619"/>
      <c r="P191" s="619"/>
      <c r="Q191" s="619"/>
      <c r="R191" s="6"/>
      <c r="T191" s="142"/>
    </row>
    <row r="192" spans="2:28" ht="11.25" customHeight="1" outlineLevel="1">
      <c r="B192" s="5"/>
      <c r="C192" s="267"/>
      <c r="D192" s="267" t="s">
        <v>67</v>
      </c>
      <c r="E192" s="320" t="s">
        <v>716</v>
      </c>
      <c r="F192" s="651" t="s">
        <v>717</v>
      </c>
      <c r="G192" s="651"/>
      <c r="H192" s="651"/>
      <c r="I192" s="651"/>
      <c r="J192" s="179" t="s">
        <v>65</v>
      </c>
      <c r="K192" s="268">
        <f>SUM(K193:K194)</f>
        <v>33.9295</v>
      </c>
      <c r="L192" s="652"/>
      <c r="M192" s="652"/>
      <c r="N192" s="653">
        <f>ROUND(L192*K192,2)</f>
        <v>0</v>
      </c>
      <c r="O192" s="619"/>
      <c r="P192" s="619"/>
      <c r="Q192" s="619"/>
      <c r="R192" s="6"/>
      <c r="T192" s="142"/>
      <c r="V192" s="4"/>
      <c r="W192" s="4"/>
      <c r="X192" s="4"/>
      <c r="Y192" s="4"/>
      <c r="Z192" s="4"/>
      <c r="AA192" s="4"/>
      <c r="AB192" s="4"/>
    </row>
    <row r="193" spans="2:29" s="177" customFormat="1" ht="13.5" outlineLevel="1">
      <c r="B193" s="175"/>
      <c r="E193" s="319" t="s">
        <v>715</v>
      </c>
      <c r="F193" s="627" t="s">
        <v>194</v>
      </c>
      <c r="G193" s="628"/>
      <c r="H193" s="628"/>
      <c r="I193" s="628"/>
      <c r="J193" s="176"/>
      <c r="K193" s="266">
        <f>K176</f>
        <v>30.845</v>
      </c>
      <c r="L193" s="419"/>
      <c r="M193" s="419"/>
      <c r="R193" s="178"/>
      <c r="T193" s="142"/>
      <c r="AC193" s="386"/>
    </row>
    <row r="194" spans="2:29" s="177" customFormat="1" ht="22.5" outlineLevel="1">
      <c r="B194" s="175"/>
      <c r="E194" s="319" t="s">
        <v>712</v>
      </c>
      <c r="F194" s="627"/>
      <c r="G194" s="628"/>
      <c r="H194" s="628"/>
      <c r="I194" s="628"/>
      <c r="J194" s="314">
        <v>0.1</v>
      </c>
      <c r="K194" s="266">
        <f>SUM(K193:K193)*J194</f>
        <v>3.0845000000000002</v>
      </c>
      <c r="L194" s="419"/>
      <c r="M194" s="419"/>
      <c r="R194" s="178"/>
      <c r="T194" s="142"/>
      <c r="AC194" s="386"/>
    </row>
    <row r="195" spans="2:28" ht="27" customHeight="1" outlineLevel="1">
      <c r="B195" s="5"/>
      <c r="C195" s="261"/>
      <c r="D195" s="261" t="s">
        <v>64</v>
      </c>
      <c r="E195" s="262">
        <v>711161122</v>
      </c>
      <c r="F195" s="625" t="s">
        <v>722</v>
      </c>
      <c r="G195" s="625"/>
      <c r="H195" s="625"/>
      <c r="I195" s="625"/>
      <c r="J195" s="174" t="s">
        <v>65</v>
      </c>
      <c r="K195" s="264">
        <f>SUM(K196:K196)</f>
        <v>15.92</v>
      </c>
      <c r="L195" s="626"/>
      <c r="M195" s="626"/>
      <c r="N195" s="619">
        <f>ROUND(L195*K195,2)</f>
        <v>0</v>
      </c>
      <c r="O195" s="619"/>
      <c r="P195" s="619"/>
      <c r="Q195" s="619"/>
      <c r="R195" s="6"/>
      <c r="T195" s="142"/>
      <c r="V195" s="4"/>
      <c r="W195" s="4"/>
      <c r="X195" s="4"/>
      <c r="Y195" s="4"/>
      <c r="Z195" s="4"/>
      <c r="AA195" s="4"/>
      <c r="AB195" s="4"/>
    </row>
    <row r="196" spans="2:29" s="177" customFormat="1" ht="13.5" outlineLevel="1">
      <c r="B196" s="175"/>
      <c r="E196" s="319" t="s">
        <v>704</v>
      </c>
      <c r="F196" s="627" t="s">
        <v>851</v>
      </c>
      <c r="G196" s="628">
        <f>(12.3+7.6)*0.8</f>
        <v>15.92</v>
      </c>
      <c r="H196" s="628">
        <f>(12.3+7.6)*0.8</f>
        <v>15.92</v>
      </c>
      <c r="I196" s="628">
        <f>(12.3+7.6)*0.8</f>
        <v>15.92</v>
      </c>
      <c r="J196" s="176"/>
      <c r="K196" s="266">
        <f>(12.3+7.6)*0.8</f>
        <v>15.92</v>
      </c>
      <c r="L196" s="419"/>
      <c r="M196" s="419"/>
      <c r="R196" s="178"/>
      <c r="T196" s="142"/>
      <c r="AC196" s="386"/>
    </row>
    <row r="197" spans="2:20" ht="13.5" outlineLevel="1">
      <c r="B197" s="5"/>
      <c r="C197" s="261"/>
      <c r="D197" s="261" t="s">
        <v>64</v>
      </c>
      <c r="E197" s="262">
        <v>711161222</v>
      </c>
      <c r="F197" s="625" t="s">
        <v>723</v>
      </c>
      <c r="G197" s="625"/>
      <c r="H197" s="625"/>
      <c r="I197" s="625"/>
      <c r="J197" s="174" t="s">
        <v>65</v>
      </c>
      <c r="K197" s="264">
        <f>K176</f>
        <v>30.845</v>
      </c>
      <c r="L197" s="626"/>
      <c r="M197" s="626"/>
      <c r="N197" s="619">
        <f>ROUND(L197*K197,2)</f>
        <v>0</v>
      </c>
      <c r="O197" s="619"/>
      <c r="P197" s="619"/>
      <c r="Q197" s="619"/>
      <c r="R197" s="6"/>
      <c r="T197" s="142"/>
    </row>
    <row r="198" spans="2:20" ht="13.5" outlineLevel="1">
      <c r="B198" s="5"/>
      <c r="C198" s="261"/>
      <c r="D198" s="261" t="s">
        <v>64</v>
      </c>
      <c r="E198" s="262" t="s">
        <v>724</v>
      </c>
      <c r="F198" s="625" t="s">
        <v>725</v>
      </c>
      <c r="G198" s="625"/>
      <c r="H198" s="625"/>
      <c r="I198" s="625"/>
      <c r="J198" s="174" t="s">
        <v>70</v>
      </c>
      <c r="K198" s="264">
        <f>SUM(K199)</f>
        <v>19.9</v>
      </c>
      <c r="L198" s="626"/>
      <c r="M198" s="626"/>
      <c r="N198" s="619">
        <f>ROUND(L198*K198,2)</f>
        <v>0</v>
      </c>
      <c r="O198" s="619"/>
      <c r="P198" s="619"/>
      <c r="Q198" s="619"/>
      <c r="R198" s="6"/>
      <c r="T198" s="142"/>
    </row>
    <row r="199" spans="2:29" s="177" customFormat="1" ht="13.5" outlineLevel="1">
      <c r="B199" s="175"/>
      <c r="E199" s="319" t="s">
        <v>706</v>
      </c>
      <c r="F199" s="627" t="s">
        <v>852</v>
      </c>
      <c r="G199" s="628">
        <f>(12.3+7.6)</f>
        <v>19.9</v>
      </c>
      <c r="H199" s="628">
        <f>(12.3+7.6)</f>
        <v>19.9</v>
      </c>
      <c r="I199" s="628">
        <f>(12.3+7.6)</f>
        <v>19.9</v>
      </c>
      <c r="J199" s="176"/>
      <c r="K199" s="266">
        <f>(12.3+7.6)</f>
        <v>19.9</v>
      </c>
      <c r="L199" s="419"/>
      <c r="M199" s="419"/>
      <c r="R199" s="178"/>
      <c r="T199" s="142"/>
      <c r="AC199" s="386"/>
    </row>
    <row r="200" spans="2:29" s="324" customFormat="1" ht="13.5" outlineLevel="1">
      <c r="B200" s="322"/>
      <c r="C200" s="327"/>
      <c r="D200" s="327" t="s">
        <v>720</v>
      </c>
      <c r="E200" s="648" t="s">
        <v>721</v>
      </c>
      <c r="F200" s="649"/>
      <c r="G200" s="649"/>
      <c r="H200" s="649"/>
      <c r="I200" s="650"/>
      <c r="J200" s="328"/>
      <c r="K200" s="329">
        <f>2.9*0.6+(32.5+7.7+19.2)*0.4</f>
        <v>25.500000000000004</v>
      </c>
      <c r="L200" s="654"/>
      <c r="M200" s="654"/>
      <c r="N200" s="655"/>
      <c r="O200" s="655"/>
      <c r="P200" s="655"/>
      <c r="Q200" s="655"/>
      <c r="R200" s="323"/>
      <c r="T200" s="325"/>
      <c r="U200" s="326"/>
      <c r="V200" s="326"/>
      <c r="W200" s="326"/>
      <c r="X200" s="326"/>
      <c r="Y200" s="326"/>
      <c r="Z200" s="326"/>
      <c r="AA200" s="326"/>
      <c r="AB200" s="326"/>
      <c r="AC200" s="390"/>
    </row>
    <row r="201" spans="2:29" s="410" customFormat="1" ht="13.5" outlineLevel="1">
      <c r="B201" s="409"/>
      <c r="E201" s="414" t="s">
        <v>2287</v>
      </c>
      <c r="F201" s="646" t="s">
        <v>2288</v>
      </c>
      <c r="G201" s="647">
        <f aca="true" t="shared" si="2" ref="G201:I201">2.9*0.6+(32.5+7.7+19.2)*0.4</f>
        <v>25.500000000000004</v>
      </c>
      <c r="H201" s="647">
        <f t="shared" si="2"/>
        <v>25.500000000000004</v>
      </c>
      <c r="I201" s="647">
        <f t="shared" si="2"/>
        <v>25.500000000000004</v>
      </c>
      <c r="J201" s="415"/>
      <c r="K201" s="416">
        <f>2.9*0.6+(32.5+7.7+19.2)*0.4</f>
        <v>25.500000000000004</v>
      </c>
      <c r="L201" s="420"/>
      <c r="M201" s="420"/>
      <c r="R201" s="411"/>
      <c r="T201" s="412"/>
      <c r="AC201" s="413"/>
    </row>
    <row r="202" spans="2:20" ht="13.5" outlineLevel="1">
      <c r="B202" s="5"/>
      <c r="C202" s="261"/>
      <c r="D202" s="261" t="s">
        <v>64</v>
      </c>
      <c r="E202" s="262">
        <v>985311112</v>
      </c>
      <c r="F202" s="625" t="s">
        <v>703</v>
      </c>
      <c r="G202" s="625"/>
      <c r="H202" s="625"/>
      <c r="I202" s="625"/>
      <c r="J202" s="174" t="s">
        <v>65</v>
      </c>
      <c r="K202" s="264">
        <f>K200</f>
        <v>25.500000000000004</v>
      </c>
      <c r="L202" s="626"/>
      <c r="M202" s="626"/>
      <c r="N202" s="619">
        <f>ROUND(L202*K202,2)</f>
        <v>0</v>
      </c>
      <c r="O202" s="619"/>
      <c r="P202" s="619"/>
      <c r="Q202" s="619"/>
      <c r="R202" s="6"/>
      <c r="T202" s="142"/>
    </row>
    <row r="203" spans="2:28" ht="27" customHeight="1" outlineLevel="1">
      <c r="B203" s="5"/>
      <c r="C203" s="261"/>
      <c r="D203" s="261" t="s">
        <v>64</v>
      </c>
      <c r="E203" s="262">
        <v>711191201</v>
      </c>
      <c r="F203" s="625" t="s">
        <v>419</v>
      </c>
      <c r="G203" s="625"/>
      <c r="H203" s="625"/>
      <c r="I203" s="625"/>
      <c r="J203" s="174" t="s">
        <v>65</v>
      </c>
      <c r="K203" s="264">
        <f>SUM(K204:K204)</f>
        <v>49.84</v>
      </c>
      <c r="L203" s="626"/>
      <c r="M203" s="626"/>
      <c r="N203" s="619">
        <f>ROUND(L203*K203,2)</f>
        <v>0</v>
      </c>
      <c r="O203" s="619"/>
      <c r="P203" s="619"/>
      <c r="Q203" s="619"/>
      <c r="R203" s="6"/>
      <c r="T203" s="142"/>
      <c r="V203" s="4"/>
      <c r="W203" s="4"/>
      <c r="X203" s="4"/>
      <c r="Y203" s="4"/>
      <c r="Z203" s="4"/>
      <c r="AA203" s="4"/>
      <c r="AB203" s="4"/>
    </row>
    <row r="204" spans="2:29" s="177" customFormat="1" ht="13.5" outlineLevel="1">
      <c r="B204" s="175"/>
      <c r="E204" s="319" t="s">
        <v>704</v>
      </c>
      <c r="F204" s="627" t="s">
        <v>854</v>
      </c>
      <c r="G204" s="628">
        <f>(2.9+32.5+7.7+19.2)*0.8</f>
        <v>49.84</v>
      </c>
      <c r="H204" s="628">
        <f>(2.9+32.5+7.7+19.2)*0.8</f>
        <v>49.84</v>
      </c>
      <c r="I204" s="628">
        <f>(2.9+32.5+7.7+19.2)*0.8</f>
        <v>49.84</v>
      </c>
      <c r="J204" s="176"/>
      <c r="K204" s="266">
        <f>(2.9+32.5+7.7+19.2)*0.8</f>
        <v>49.84</v>
      </c>
      <c r="L204" s="419"/>
      <c r="M204" s="419"/>
      <c r="R204" s="178"/>
      <c r="T204" s="142"/>
      <c r="AC204" s="386"/>
    </row>
    <row r="205" spans="2:20" ht="13.5" outlineLevel="1">
      <c r="B205" s="5"/>
      <c r="C205" s="261"/>
      <c r="D205" s="261" t="s">
        <v>64</v>
      </c>
      <c r="E205" s="262">
        <v>711192202</v>
      </c>
      <c r="F205" s="625" t="s">
        <v>418</v>
      </c>
      <c r="G205" s="625"/>
      <c r="H205" s="625"/>
      <c r="I205" s="625"/>
      <c r="J205" s="174" t="s">
        <v>65</v>
      </c>
      <c r="K205" s="264">
        <f>K200</f>
        <v>25.500000000000004</v>
      </c>
      <c r="L205" s="626"/>
      <c r="M205" s="626"/>
      <c r="N205" s="619">
        <f>ROUND(L205*K205,2)</f>
        <v>0</v>
      </c>
      <c r="O205" s="619"/>
      <c r="P205" s="619"/>
      <c r="Q205" s="619"/>
      <c r="R205" s="6"/>
      <c r="T205" s="142"/>
    </row>
    <row r="206" spans="2:20" ht="13.5" outlineLevel="1">
      <c r="B206" s="5"/>
      <c r="C206" s="261"/>
      <c r="D206" s="261" t="s">
        <v>64</v>
      </c>
      <c r="E206" s="262">
        <v>711199101</v>
      </c>
      <c r="F206" s="625" t="s">
        <v>705</v>
      </c>
      <c r="G206" s="625"/>
      <c r="H206" s="625"/>
      <c r="I206" s="625"/>
      <c r="J206" s="174" t="s">
        <v>70</v>
      </c>
      <c r="K206" s="264">
        <f>SUM(K207:K208)</f>
        <v>66.95</v>
      </c>
      <c r="L206" s="626"/>
      <c r="M206" s="626"/>
      <c r="N206" s="619">
        <f>ROUND(L206*K206,2)</f>
        <v>0</v>
      </c>
      <c r="O206" s="619"/>
      <c r="P206" s="619"/>
      <c r="Q206" s="619"/>
      <c r="R206" s="6"/>
      <c r="T206" s="142"/>
    </row>
    <row r="207" spans="2:29" s="177" customFormat="1" ht="13.5" outlineLevel="1">
      <c r="B207" s="175"/>
      <c r="E207" s="319" t="s">
        <v>706</v>
      </c>
      <c r="F207" s="627" t="s">
        <v>855</v>
      </c>
      <c r="G207" s="628">
        <f>(2.9+32.5+7.7+19.2)</f>
        <v>62.3</v>
      </c>
      <c r="H207" s="628">
        <f>(2.9+32.5+7.7+19.2)</f>
        <v>62.3</v>
      </c>
      <c r="I207" s="628">
        <f>(2.9+32.5+7.7+19.2)</f>
        <v>62.3</v>
      </c>
      <c r="J207" s="176"/>
      <c r="K207" s="266">
        <f>(2.9+32.5+7.7+19.2)</f>
        <v>62.3</v>
      </c>
      <c r="L207" s="419"/>
      <c r="M207" s="419"/>
      <c r="R207" s="178"/>
      <c r="T207" s="142"/>
      <c r="AC207" s="386"/>
    </row>
    <row r="208" spans="2:29" s="177" customFormat="1" ht="10.5" customHeight="1" outlineLevel="1">
      <c r="B208" s="175"/>
      <c r="E208" s="319" t="s">
        <v>707</v>
      </c>
      <c r="F208" s="627" t="s">
        <v>853</v>
      </c>
      <c r="G208" s="628">
        <f>(1.1+2)/2*3</f>
        <v>4.65</v>
      </c>
      <c r="H208" s="628">
        <f>(1.1+2)/2*3</f>
        <v>4.65</v>
      </c>
      <c r="I208" s="628">
        <f>(1.1+2)/2*3</f>
        <v>4.65</v>
      </c>
      <c r="J208" s="176"/>
      <c r="K208" s="266">
        <f>(1.1+2)/2*3</f>
        <v>4.65</v>
      </c>
      <c r="L208" s="419"/>
      <c r="M208" s="419"/>
      <c r="R208" s="178"/>
      <c r="T208" s="142"/>
      <c r="AC208" s="386"/>
    </row>
    <row r="209" spans="2:28" ht="11.25" customHeight="1" outlineLevel="1">
      <c r="B209" s="5"/>
      <c r="C209" s="267"/>
      <c r="D209" s="267" t="s">
        <v>71</v>
      </c>
      <c r="E209" s="320" t="s">
        <v>726</v>
      </c>
      <c r="F209" s="651" t="s">
        <v>727</v>
      </c>
      <c r="G209" s="651"/>
      <c r="H209" s="651"/>
      <c r="I209" s="651"/>
      <c r="J209" s="179" t="s">
        <v>420</v>
      </c>
      <c r="K209" s="268">
        <f>SUM(K210:K210)</f>
        <v>248.62200000000004</v>
      </c>
      <c r="L209" s="652"/>
      <c r="M209" s="652"/>
      <c r="N209" s="653">
        <f>ROUND(L209*K209,2)</f>
        <v>0</v>
      </c>
      <c r="O209" s="619"/>
      <c r="P209" s="619"/>
      <c r="Q209" s="619"/>
      <c r="R209" s="6"/>
      <c r="T209" s="142"/>
      <c r="V209" s="4"/>
      <c r="W209" s="4"/>
      <c r="X209" s="4"/>
      <c r="Y209" s="4"/>
      <c r="Z209" s="4"/>
      <c r="AA209" s="4"/>
      <c r="AB209" s="4"/>
    </row>
    <row r="210" spans="2:29" s="177" customFormat="1" ht="13.5" outlineLevel="1">
      <c r="B210" s="175"/>
      <c r="E210" s="319" t="s">
        <v>708</v>
      </c>
      <c r="F210" s="627"/>
      <c r="G210" s="628"/>
      <c r="H210" s="628"/>
      <c r="I210" s="628"/>
      <c r="J210" s="176">
        <f>3*1.1</f>
        <v>3.3000000000000003</v>
      </c>
      <c r="K210" s="266">
        <f>(K203+K205)*J210</f>
        <v>248.62200000000004</v>
      </c>
      <c r="L210" s="419"/>
      <c r="M210" s="419"/>
      <c r="R210" s="178"/>
      <c r="T210" s="142"/>
      <c r="AC210" s="386"/>
    </row>
    <row r="211" spans="2:28" ht="11.25" customHeight="1" outlineLevel="1">
      <c r="B211" s="5"/>
      <c r="C211" s="267"/>
      <c r="D211" s="267" t="s">
        <v>67</v>
      </c>
      <c r="E211" s="320" t="s">
        <v>709</v>
      </c>
      <c r="F211" s="651" t="s">
        <v>710</v>
      </c>
      <c r="G211" s="651"/>
      <c r="H211" s="651"/>
      <c r="I211" s="651"/>
      <c r="J211" s="179" t="s">
        <v>70</v>
      </c>
      <c r="K211" s="268">
        <f>SUM(K212:K214)</f>
        <v>72.05</v>
      </c>
      <c r="L211" s="652"/>
      <c r="M211" s="652"/>
      <c r="N211" s="653">
        <f>ROUND(L211*K211,2)</f>
        <v>0</v>
      </c>
      <c r="O211" s="619"/>
      <c r="P211" s="619"/>
      <c r="Q211" s="619"/>
      <c r="R211" s="6"/>
      <c r="T211" s="142"/>
      <c r="V211" s="4"/>
      <c r="W211" s="4"/>
      <c r="X211" s="4"/>
      <c r="Y211" s="4"/>
      <c r="Z211" s="4"/>
      <c r="AA211" s="4"/>
      <c r="AB211" s="4"/>
    </row>
    <row r="212" spans="2:29" s="177" customFormat="1" ht="13.5" outlineLevel="1">
      <c r="B212" s="175"/>
      <c r="E212" s="319" t="s">
        <v>706</v>
      </c>
      <c r="F212" s="627" t="s">
        <v>855</v>
      </c>
      <c r="G212" s="628">
        <f>(2.9+32.5+7.7+19.2)</f>
        <v>62.3</v>
      </c>
      <c r="H212" s="628">
        <f>(2.9+32.5+7.7+19.2)</f>
        <v>62.3</v>
      </c>
      <c r="I212" s="628">
        <f>(2.9+32.5+7.7+19.2)</f>
        <v>62.3</v>
      </c>
      <c r="J212" s="176"/>
      <c r="K212" s="266">
        <f>(2.9+32.5+7.7+19.2)</f>
        <v>62.3</v>
      </c>
      <c r="L212" s="419"/>
      <c r="M212" s="419"/>
      <c r="R212" s="178"/>
      <c r="T212" s="142"/>
      <c r="AC212" s="386"/>
    </row>
    <row r="213" spans="2:29" s="177" customFormat="1" ht="13.5" outlineLevel="1">
      <c r="B213" s="175"/>
      <c r="E213" s="319" t="s">
        <v>707</v>
      </c>
      <c r="F213" s="627" t="s">
        <v>856</v>
      </c>
      <c r="G213" s="628">
        <f>8*0.4</f>
        <v>3.2</v>
      </c>
      <c r="H213" s="628">
        <f>8*0.4</f>
        <v>3.2</v>
      </c>
      <c r="I213" s="628">
        <f>8*0.4</f>
        <v>3.2</v>
      </c>
      <c r="J213" s="176"/>
      <c r="K213" s="266">
        <f>8*0.4</f>
        <v>3.2</v>
      </c>
      <c r="L213" s="419"/>
      <c r="M213" s="419"/>
      <c r="R213" s="178"/>
      <c r="T213" s="142"/>
      <c r="AC213" s="386"/>
    </row>
    <row r="214" spans="2:29" s="177" customFormat="1" ht="22.5" outlineLevel="1">
      <c r="B214" s="175"/>
      <c r="E214" s="319" t="s">
        <v>712</v>
      </c>
      <c r="F214" s="627"/>
      <c r="G214" s="628"/>
      <c r="H214" s="628"/>
      <c r="I214" s="628"/>
      <c r="J214" s="314">
        <v>0.1</v>
      </c>
      <c r="K214" s="266">
        <f>SUM(K212:K213)*J214</f>
        <v>6.550000000000001</v>
      </c>
      <c r="L214" s="419"/>
      <c r="M214" s="419"/>
      <c r="R214" s="178"/>
      <c r="T214" s="142"/>
      <c r="AC214" s="386"/>
    </row>
    <row r="215" spans="2:28" ht="27" customHeight="1" outlineLevel="1">
      <c r="B215" s="5"/>
      <c r="C215" s="261"/>
      <c r="D215" s="261" t="s">
        <v>64</v>
      </c>
      <c r="E215" s="262">
        <v>711161122</v>
      </c>
      <c r="F215" s="625" t="s">
        <v>722</v>
      </c>
      <c r="G215" s="625"/>
      <c r="H215" s="625"/>
      <c r="I215" s="625"/>
      <c r="J215" s="174" t="s">
        <v>65</v>
      </c>
      <c r="K215" s="264">
        <f>SUM(K216:K216)</f>
        <v>49.84</v>
      </c>
      <c r="L215" s="626"/>
      <c r="M215" s="626"/>
      <c r="N215" s="619">
        <f>ROUND(L215*K215,2)</f>
        <v>0</v>
      </c>
      <c r="O215" s="619"/>
      <c r="P215" s="619"/>
      <c r="Q215" s="619"/>
      <c r="R215" s="6"/>
      <c r="T215" s="142"/>
      <c r="V215" s="4"/>
      <c r="W215" s="4"/>
      <c r="X215" s="4"/>
      <c r="Y215" s="4"/>
      <c r="Z215" s="4"/>
      <c r="AA215" s="4"/>
      <c r="AB215" s="4"/>
    </row>
    <row r="216" spans="2:29" s="177" customFormat="1" ht="13.5" outlineLevel="1">
      <c r="B216" s="175"/>
      <c r="E216" s="319" t="s">
        <v>704</v>
      </c>
      <c r="F216" s="627" t="s">
        <v>854</v>
      </c>
      <c r="G216" s="628">
        <f>(2.9+32.5+7.7+19.2)*0.8</f>
        <v>49.84</v>
      </c>
      <c r="H216" s="628">
        <f>(2.9+32.5+7.7+19.2)*0.8</f>
        <v>49.84</v>
      </c>
      <c r="I216" s="628">
        <f>(2.9+32.5+7.7+19.2)*0.8</f>
        <v>49.84</v>
      </c>
      <c r="J216" s="176"/>
      <c r="K216" s="266">
        <f>(2.9+32.5+7.7+19.2)*0.8</f>
        <v>49.84</v>
      </c>
      <c r="L216" s="419"/>
      <c r="M216" s="419"/>
      <c r="R216" s="178"/>
      <c r="T216" s="142"/>
      <c r="AC216" s="386"/>
    </row>
    <row r="217" spans="2:20" ht="13.5" outlineLevel="1">
      <c r="B217" s="5"/>
      <c r="C217" s="261"/>
      <c r="D217" s="261" t="s">
        <v>64</v>
      </c>
      <c r="E217" s="262">
        <v>711161222</v>
      </c>
      <c r="F217" s="625" t="s">
        <v>723</v>
      </c>
      <c r="G217" s="625"/>
      <c r="H217" s="625"/>
      <c r="I217" s="625"/>
      <c r="J217" s="174" t="s">
        <v>65</v>
      </c>
      <c r="K217" s="264">
        <f>K200</f>
        <v>25.500000000000004</v>
      </c>
      <c r="L217" s="626"/>
      <c r="M217" s="626"/>
      <c r="N217" s="619">
        <f>ROUND(L217*K217,2)</f>
        <v>0</v>
      </c>
      <c r="O217" s="619"/>
      <c r="P217" s="619"/>
      <c r="Q217" s="619"/>
      <c r="R217" s="6"/>
      <c r="T217" s="142"/>
    </row>
    <row r="218" spans="2:20" ht="13.5" outlineLevel="1">
      <c r="B218" s="5"/>
      <c r="C218" s="261"/>
      <c r="D218" s="261" t="s">
        <v>64</v>
      </c>
      <c r="E218" s="262" t="s">
        <v>724</v>
      </c>
      <c r="F218" s="625" t="s">
        <v>725</v>
      </c>
      <c r="G218" s="625"/>
      <c r="H218" s="625"/>
      <c r="I218" s="625"/>
      <c r="J218" s="174" t="s">
        <v>70</v>
      </c>
      <c r="K218" s="264">
        <f>SUM(K219)</f>
        <v>19.9</v>
      </c>
      <c r="L218" s="626"/>
      <c r="M218" s="626"/>
      <c r="N218" s="619">
        <f>ROUND(L218*K218,2)</f>
        <v>0</v>
      </c>
      <c r="O218" s="619"/>
      <c r="P218" s="619"/>
      <c r="Q218" s="619"/>
      <c r="R218" s="6"/>
      <c r="T218" s="142"/>
    </row>
    <row r="219" spans="2:29" s="177" customFormat="1" ht="13.5" outlineLevel="1">
      <c r="B219" s="175"/>
      <c r="E219" s="319" t="s">
        <v>706</v>
      </c>
      <c r="F219" s="627" t="s">
        <v>852</v>
      </c>
      <c r="G219" s="628">
        <f>(12.3+7.6)</f>
        <v>19.9</v>
      </c>
      <c r="H219" s="628">
        <f>(12.3+7.6)</f>
        <v>19.9</v>
      </c>
      <c r="I219" s="628">
        <f>(12.3+7.6)</f>
        <v>19.9</v>
      </c>
      <c r="J219" s="176"/>
      <c r="K219" s="266">
        <f>(12.3+7.6)</f>
        <v>19.9</v>
      </c>
      <c r="L219" s="419"/>
      <c r="M219" s="419"/>
      <c r="R219" s="178"/>
      <c r="T219" s="142"/>
      <c r="AC219" s="386"/>
    </row>
    <row r="220" spans="2:29" s="324" customFormat="1" ht="13.5" outlineLevel="1">
      <c r="B220" s="322"/>
      <c r="C220" s="327"/>
      <c r="D220" s="327" t="s">
        <v>729</v>
      </c>
      <c r="E220" s="648" t="s">
        <v>728</v>
      </c>
      <c r="F220" s="649"/>
      <c r="G220" s="649"/>
      <c r="H220" s="649"/>
      <c r="I220" s="650"/>
      <c r="J220" s="328"/>
      <c r="K220" s="329">
        <f>(12.3+7.6+2.9+32.5+7.7+19.2)*0.8</f>
        <v>65.76</v>
      </c>
      <c r="L220" s="654"/>
      <c r="M220" s="654"/>
      <c r="N220" s="655"/>
      <c r="O220" s="655"/>
      <c r="P220" s="655"/>
      <c r="Q220" s="655"/>
      <c r="R220" s="323"/>
      <c r="T220" s="325"/>
      <c r="U220" s="326"/>
      <c r="V220" s="326"/>
      <c r="W220" s="326"/>
      <c r="X220" s="326"/>
      <c r="Y220" s="326"/>
      <c r="Z220" s="326"/>
      <c r="AA220" s="326"/>
      <c r="AB220" s="326"/>
      <c r="AC220" s="390"/>
    </row>
    <row r="221" spans="2:29" s="410" customFormat="1" ht="13.5" outlineLevel="1">
      <c r="B221" s="409"/>
      <c r="E221" s="414" t="s">
        <v>2289</v>
      </c>
      <c r="F221" s="646" t="s">
        <v>2290</v>
      </c>
      <c r="G221" s="647">
        <f aca="true" t="shared" si="3" ref="G221:I221">(12.3+7.6+2.9+32.5+7.7+19.2)*0.8</f>
        <v>65.76</v>
      </c>
      <c r="H221" s="647">
        <f t="shared" si="3"/>
        <v>65.76</v>
      </c>
      <c r="I221" s="647">
        <f t="shared" si="3"/>
        <v>65.76</v>
      </c>
      <c r="J221" s="415"/>
      <c r="K221" s="416">
        <f>(12.3+7.6+2.9+32.5+7.7+19.2)*0.8</f>
        <v>65.76</v>
      </c>
      <c r="L221" s="420"/>
      <c r="M221" s="420"/>
      <c r="R221" s="411"/>
      <c r="T221" s="412"/>
      <c r="AC221" s="413"/>
    </row>
    <row r="222" spans="2:20" ht="13.5" outlineLevel="1">
      <c r="B222" s="5"/>
      <c r="C222" s="261"/>
      <c r="D222" s="261" t="s">
        <v>64</v>
      </c>
      <c r="E222" s="262">
        <v>783803140</v>
      </c>
      <c r="F222" s="625" t="s">
        <v>730</v>
      </c>
      <c r="G222" s="625"/>
      <c r="H222" s="625"/>
      <c r="I222" s="625"/>
      <c r="J222" s="174" t="s">
        <v>65</v>
      </c>
      <c r="K222" s="264">
        <f>K220</f>
        <v>65.76</v>
      </c>
      <c r="L222" s="626"/>
      <c r="M222" s="626"/>
      <c r="N222" s="619">
        <f>ROUND(L222*K222,2)</f>
        <v>0</v>
      </c>
      <c r="O222" s="619"/>
      <c r="P222" s="619"/>
      <c r="Q222" s="619"/>
      <c r="R222" s="6"/>
      <c r="T222" s="142"/>
    </row>
    <row r="223" spans="2:28" ht="11.25" customHeight="1" outlineLevel="1">
      <c r="B223" s="5"/>
      <c r="C223" s="267"/>
      <c r="D223" s="267" t="s">
        <v>71</v>
      </c>
      <c r="E223" s="320" t="s">
        <v>731</v>
      </c>
      <c r="F223" s="651" t="s">
        <v>732</v>
      </c>
      <c r="G223" s="651"/>
      <c r="H223" s="651"/>
      <c r="I223" s="651"/>
      <c r="J223" s="179" t="s">
        <v>733</v>
      </c>
      <c r="K223" s="268">
        <f>K222*0.3*2</f>
        <v>39.456</v>
      </c>
      <c r="L223" s="652"/>
      <c r="M223" s="652"/>
      <c r="N223" s="653">
        <f>ROUND(L223*K223,2)</f>
        <v>0</v>
      </c>
      <c r="O223" s="619"/>
      <c r="P223" s="619"/>
      <c r="Q223" s="619"/>
      <c r="R223" s="6"/>
      <c r="T223" s="142"/>
      <c r="V223" s="4"/>
      <c r="W223" s="4"/>
      <c r="X223" s="4"/>
      <c r="Y223" s="4"/>
      <c r="Z223" s="4"/>
      <c r="AA223" s="4"/>
      <c r="AB223" s="4"/>
    </row>
    <row r="224" spans="2:20" ht="13.5" outlineLevel="1">
      <c r="B224" s="5"/>
      <c r="C224" s="261"/>
      <c r="D224" s="261" t="s">
        <v>64</v>
      </c>
      <c r="E224" s="262">
        <v>985311112</v>
      </c>
      <c r="F224" s="625" t="s">
        <v>703</v>
      </c>
      <c r="G224" s="625"/>
      <c r="H224" s="625"/>
      <c r="I224" s="625"/>
      <c r="J224" s="174" t="s">
        <v>65</v>
      </c>
      <c r="K224" s="264">
        <f>K220</f>
        <v>65.76</v>
      </c>
      <c r="L224" s="626"/>
      <c r="M224" s="626"/>
      <c r="N224" s="619">
        <f>ROUND(L224*K224,2)</f>
        <v>0</v>
      </c>
      <c r="O224" s="619"/>
      <c r="P224" s="619"/>
      <c r="Q224" s="619"/>
      <c r="R224" s="6"/>
      <c r="T224" s="142"/>
    </row>
    <row r="225" spans="2:20" ht="13.5" outlineLevel="1">
      <c r="B225" s="5"/>
      <c r="C225" s="261"/>
      <c r="D225" s="261" t="s">
        <v>64</v>
      </c>
      <c r="E225" s="262">
        <v>711192202</v>
      </c>
      <c r="F225" s="625" t="s">
        <v>418</v>
      </c>
      <c r="G225" s="625"/>
      <c r="H225" s="625"/>
      <c r="I225" s="625"/>
      <c r="J225" s="174" t="s">
        <v>65</v>
      </c>
      <c r="K225" s="264">
        <f>K220</f>
        <v>65.76</v>
      </c>
      <c r="L225" s="626"/>
      <c r="M225" s="626"/>
      <c r="N225" s="619">
        <f>ROUND(L225*K225,2)</f>
        <v>0</v>
      </c>
      <c r="O225" s="619"/>
      <c r="P225" s="619"/>
      <c r="Q225" s="619"/>
      <c r="R225" s="6"/>
      <c r="T225" s="142"/>
    </row>
    <row r="226" spans="2:20" ht="13.5" outlineLevel="1">
      <c r="B226" s="5"/>
      <c r="C226" s="261"/>
      <c r="D226" s="261" t="s">
        <v>64</v>
      </c>
      <c r="E226" s="262">
        <v>711199101</v>
      </c>
      <c r="F226" s="625" t="s">
        <v>705</v>
      </c>
      <c r="G226" s="625"/>
      <c r="H226" s="625"/>
      <c r="I226" s="625"/>
      <c r="J226" s="174" t="s">
        <v>70</v>
      </c>
      <c r="K226" s="264">
        <f>SUM(K227:K227)</f>
        <v>20</v>
      </c>
      <c r="L226" s="626"/>
      <c r="M226" s="626"/>
      <c r="N226" s="619">
        <f>ROUND(L226*K226,2)</f>
        <v>0</v>
      </c>
      <c r="O226" s="619"/>
      <c r="P226" s="619"/>
      <c r="Q226" s="619"/>
      <c r="R226" s="6"/>
      <c r="T226" s="142"/>
    </row>
    <row r="227" spans="2:29" s="177" customFormat="1" ht="13.5" outlineLevel="1">
      <c r="B227" s="175"/>
      <c r="E227" s="319" t="s">
        <v>707</v>
      </c>
      <c r="F227" s="627" t="s">
        <v>857</v>
      </c>
      <c r="G227" s="628">
        <f>25*0.8</f>
        <v>20</v>
      </c>
      <c r="H227" s="628">
        <f>25*0.8</f>
        <v>20</v>
      </c>
      <c r="I227" s="628">
        <f>25*0.8</f>
        <v>20</v>
      </c>
      <c r="J227" s="176"/>
      <c r="K227" s="266">
        <f>25*0.8</f>
        <v>20</v>
      </c>
      <c r="L227" s="419"/>
      <c r="M227" s="419"/>
      <c r="R227" s="178"/>
      <c r="T227" s="142"/>
      <c r="AC227" s="386"/>
    </row>
    <row r="228" spans="2:28" ht="11.25" customHeight="1" outlineLevel="1">
      <c r="B228" s="5"/>
      <c r="C228" s="267"/>
      <c r="D228" s="267" t="s">
        <v>71</v>
      </c>
      <c r="E228" s="320" t="s">
        <v>726</v>
      </c>
      <c r="F228" s="651" t="s">
        <v>727</v>
      </c>
      <c r="G228" s="651"/>
      <c r="H228" s="651"/>
      <c r="I228" s="651"/>
      <c r="J228" s="179" t="s">
        <v>420</v>
      </c>
      <c r="K228" s="268">
        <f>SUM(K229:K229)</f>
        <v>260.40960000000007</v>
      </c>
      <c r="L228" s="652"/>
      <c r="M228" s="652"/>
      <c r="N228" s="653">
        <f>ROUND(L228*K228,2)</f>
        <v>0</v>
      </c>
      <c r="O228" s="619"/>
      <c r="P228" s="619"/>
      <c r="Q228" s="619"/>
      <c r="R228" s="6"/>
      <c r="T228" s="142"/>
      <c r="V228" s="4"/>
      <c r="W228" s="4"/>
      <c r="X228" s="4"/>
      <c r="Y228" s="4"/>
      <c r="Z228" s="4"/>
      <c r="AA228" s="4"/>
      <c r="AB228" s="4"/>
    </row>
    <row r="229" spans="2:29" s="177" customFormat="1" ht="13.5" outlineLevel="1">
      <c r="B229" s="175"/>
      <c r="E229" s="319" t="s">
        <v>708</v>
      </c>
      <c r="F229" s="627" t="s">
        <v>711</v>
      </c>
      <c r="G229" s="628"/>
      <c r="H229" s="628"/>
      <c r="I229" s="628"/>
      <c r="J229" s="176">
        <f>1.8*2*1.1</f>
        <v>3.9600000000000004</v>
      </c>
      <c r="K229" s="266">
        <f>(K225)*J229</f>
        <v>260.40960000000007</v>
      </c>
      <c r="L229" s="419"/>
      <c r="M229" s="419"/>
      <c r="R229" s="178"/>
      <c r="T229" s="142"/>
      <c r="AC229" s="386"/>
    </row>
    <row r="230" spans="2:28" ht="11.25" customHeight="1" outlineLevel="1">
      <c r="B230" s="5"/>
      <c r="C230" s="267"/>
      <c r="D230" s="267" t="s">
        <v>67</v>
      </c>
      <c r="E230" s="320" t="s">
        <v>709</v>
      </c>
      <c r="F230" s="651" t="s">
        <v>710</v>
      </c>
      <c r="G230" s="651"/>
      <c r="H230" s="651"/>
      <c r="I230" s="651"/>
      <c r="J230" s="179" t="s">
        <v>70</v>
      </c>
      <c r="K230" s="268">
        <f>SUM(K231:K232)</f>
        <v>22</v>
      </c>
      <c r="L230" s="652"/>
      <c r="M230" s="652"/>
      <c r="N230" s="653">
        <f>ROUND(L230*K230,2)</f>
        <v>0</v>
      </c>
      <c r="O230" s="619"/>
      <c r="P230" s="619"/>
      <c r="Q230" s="619"/>
      <c r="R230" s="6"/>
      <c r="T230" s="142"/>
      <c r="V230" s="4"/>
      <c r="W230" s="4"/>
      <c r="X230" s="4"/>
      <c r="Y230" s="4"/>
      <c r="Z230" s="4"/>
      <c r="AA230" s="4"/>
      <c r="AB230" s="4"/>
    </row>
    <row r="231" spans="2:29" s="177" customFormat="1" ht="13.5" outlineLevel="1">
      <c r="B231" s="175"/>
      <c r="E231" s="319" t="s">
        <v>707</v>
      </c>
      <c r="F231" s="627" t="s">
        <v>857</v>
      </c>
      <c r="G231" s="628">
        <f>25*0.8</f>
        <v>20</v>
      </c>
      <c r="H231" s="628">
        <f>25*0.8</f>
        <v>20</v>
      </c>
      <c r="I231" s="628">
        <f>25*0.8</f>
        <v>20</v>
      </c>
      <c r="J231" s="176"/>
      <c r="K231" s="266">
        <f>25*0.8</f>
        <v>20</v>
      </c>
      <c r="L231" s="419"/>
      <c r="M231" s="419"/>
      <c r="R231" s="178"/>
      <c r="T231" s="142"/>
      <c r="AC231" s="386"/>
    </row>
    <row r="232" spans="2:29" s="177" customFormat="1" ht="22.5" outlineLevel="1">
      <c r="B232" s="175"/>
      <c r="E232" s="319" t="s">
        <v>712</v>
      </c>
      <c r="F232" s="627"/>
      <c r="G232" s="628"/>
      <c r="H232" s="628"/>
      <c r="I232" s="628"/>
      <c r="J232" s="314">
        <v>0.1</v>
      </c>
      <c r="K232" s="266">
        <f>SUM(K231:K231)*J232</f>
        <v>2</v>
      </c>
      <c r="L232" s="419"/>
      <c r="M232" s="419"/>
      <c r="R232" s="178"/>
      <c r="T232" s="142"/>
      <c r="AC232" s="386"/>
    </row>
    <row r="233" spans="2:28" ht="13.5" outlineLevel="1">
      <c r="B233" s="5"/>
      <c r="C233" s="261"/>
      <c r="D233" s="261" t="s">
        <v>64</v>
      </c>
      <c r="E233" s="262">
        <v>622326121</v>
      </c>
      <c r="F233" s="625" t="s">
        <v>410</v>
      </c>
      <c r="G233" s="625"/>
      <c r="H233" s="625"/>
      <c r="I233" s="625"/>
      <c r="J233" s="174" t="s">
        <v>65</v>
      </c>
      <c r="K233" s="264">
        <f>K220</f>
        <v>65.76</v>
      </c>
      <c r="L233" s="626"/>
      <c r="M233" s="626"/>
      <c r="N233" s="619">
        <f>ROUND(L233*K233,2)</f>
        <v>0</v>
      </c>
      <c r="O233" s="619"/>
      <c r="P233" s="619"/>
      <c r="Q233" s="619"/>
      <c r="R233" s="6"/>
      <c r="T233" s="142"/>
      <c r="V233" s="4"/>
      <c r="W233" s="4"/>
      <c r="X233" s="4"/>
      <c r="Y233" s="4"/>
      <c r="Z233" s="4"/>
      <c r="AA233" s="4"/>
      <c r="AB233" s="4"/>
    </row>
    <row r="234" spans="2:28" ht="27" customHeight="1" outlineLevel="1">
      <c r="B234" s="5"/>
      <c r="C234" s="261"/>
      <c r="D234" s="261" t="s">
        <v>64</v>
      </c>
      <c r="E234" s="262">
        <v>622326191</v>
      </c>
      <c r="F234" s="625" t="s">
        <v>736</v>
      </c>
      <c r="G234" s="625"/>
      <c r="H234" s="625"/>
      <c r="I234" s="625"/>
      <c r="J234" s="174" t="s">
        <v>65</v>
      </c>
      <c r="K234" s="264">
        <f>SUM(K235)</f>
        <v>65.76</v>
      </c>
      <c r="L234" s="626"/>
      <c r="M234" s="626"/>
      <c r="N234" s="619">
        <f>ROUND(L234*K234,2)</f>
        <v>0</v>
      </c>
      <c r="O234" s="619"/>
      <c r="P234" s="619"/>
      <c r="Q234" s="619"/>
      <c r="R234" s="6"/>
      <c r="T234" s="142"/>
      <c r="V234" s="4"/>
      <c r="W234" s="4"/>
      <c r="X234" s="4"/>
      <c r="Y234" s="4"/>
      <c r="Z234" s="4"/>
      <c r="AA234" s="4"/>
      <c r="AB234" s="4"/>
    </row>
    <row r="235" spans="2:29" s="177" customFormat="1" ht="13.5" outlineLevel="1">
      <c r="B235" s="175"/>
      <c r="E235" s="319" t="s">
        <v>738</v>
      </c>
      <c r="F235" s="627" t="s">
        <v>194</v>
      </c>
      <c r="G235" s="628"/>
      <c r="H235" s="628"/>
      <c r="I235" s="628"/>
      <c r="J235" s="176">
        <v>1</v>
      </c>
      <c r="K235" s="266">
        <f>K233*J235</f>
        <v>65.76</v>
      </c>
      <c r="L235" s="419"/>
      <c r="M235" s="419"/>
      <c r="R235" s="178"/>
      <c r="T235" s="142"/>
      <c r="AC235" s="386"/>
    </row>
    <row r="236" spans="2:20" ht="13.5" outlineLevel="1">
      <c r="B236" s="5"/>
      <c r="C236" s="261"/>
      <c r="D236" s="261" t="s">
        <v>64</v>
      </c>
      <c r="E236" s="262">
        <v>622142002</v>
      </c>
      <c r="F236" s="625" t="s">
        <v>734</v>
      </c>
      <c r="G236" s="625"/>
      <c r="H236" s="625"/>
      <c r="I236" s="625"/>
      <c r="J236" s="174" t="s">
        <v>65</v>
      </c>
      <c r="K236" s="264">
        <f>K233</f>
        <v>65.76</v>
      </c>
      <c r="L236" s="626"/>
      <c r="M236" s="626"/>
      <c r="N236" s="619">
        <f>ROUND(L236*K236,2)</f>
        <v>0</v>
      </c>
      <c r="O236" s="619"/>
      <c r="P236" s="619"/>
      <c r="Q236" s="619"/>
      <c r="R236" s="6"/>
      <c r="T236" s="142"/>
    </row>
    <row r="237" spans="2:20" ht="13.5" outlineLevel="1">
      <c r="B237" s="5"/>
      <c r="C237" s="261"/>
      <c r="D237" s="261" t="s">
        <v>64</v>
      </c>
      <c r="E237" s="262">
        <v>783826615</v>
      </c>
      <c r="F237" s="625" t="s">
        <v>416</v>
      </c>
      <c r="G237" s="625"/>
      <c r="H237" s="625"/>
      <c r="I237" s="625"/>
      <c r="J237" s="174" t="s">
        <v>65</v>
      </c>
      <c r="K237" s="264">
        <f>K236</f>
        <v>65.76</v>
      </c>
      <c r="L237" s="626"/>
      <c r="M237" s="626"/>
      <c r="N237" s="619">
        <f>ROUND(L237*K237,2)</f>
        <v>0</v>
      </c>
      <c r="O237" s="619"/>
      <c r="P237" s="619"/>
      <c r="Q237" s="619"/>
      <c r="R237" s="6"/>
      <c r="T237" s="142"/>
    </row>
    <row r="238" spans="2:29" s="324" customFormat="1" ht="13.5" outlineLevel="1">
      <c r="B238" s="322"/>
      <c r="C238" s="327"/>
      <c r="D238" s="327" t="s">
        <v>735</v>
      </c>
      <c r="E238" s="648" t="s">
        <v>1958</v>
      </c>
      <c r="F238" s="649"/>
      <c r="G238" s="649"/>
      <c r="H238" s="649"/>
      <c r="I238" s="650"/>
      <c r="J238" s="328"/>
      <c r="K238" s="329">
        <f>(12.3+7.6+2.9+32.5+7.7+19.2)*(2-0.8)</f>
        <v>98.64</v>
      </c>
      <c r="L238" s="654"/>
      <c r="M238" s="654"/>
      <c r="N238" s="655"/>
      <c r="O238" s="655"/>
      <c r="P238" s="655"/>
      <c r="Q238" s="655"/>
      <c r="R238" s="323"/>
      <c r="T238" s="325"/>
      <c r="U238" s="326"/>
      <c r="V238" s="326"/>
      <c r="W238" s="326"/>
      <c r="X238" s="326"/>
      <c r="Y238" s="326"/>
      <c r="Z238" s="326"/>
      <c r="AA238" s="326"/>
      <c r="AB238" s="326"/>
      <c r="AC238" s="390"/>
    </row>
    <row r="239" spans="2:29" s="410" customFormat="1" ht="13.5" outlineLevel="1">
      <c r="B239" s="409"/>
      <c r="E239" s="414" t="s">
        <v>2291</v>
      </c>
      <c r="F239" s="646" t="s">
        <v>2292</v>
      </c>
      <c r="G239" s="647">
        <f aca="true" t="shared" si="4" ref="G239:I239">(12.3+7.6+2.9+32.5+7.7+19.2)*(2-0.8)</f>
        <v>98.64</v>
      </c>
      <c r="H239" s="647">
        <f t="shared" si="4"/>
        <v>98.64</v>
      </c>
      <c r="I239" s="647">
        <f t="shared" si="4"/>
        <v>98.64</v>
      </c>
      <c r="J239" s="415"/>
      <c r="K239" s="416">
        <f>(12.3+7.6+2.9+32.5+7.7+19.2)*(2-0.8)</f>
        <v>98.64</v>
      </c>
      <c r="L239" s="420"/>
      <c r="M239" s="420"/>
      <c r="R239" s="411"/>
      <c r="T239" s="412"/>
      <c r="AC239" s="413"/>
    </row>
    <row r="240" spans="2:20" ht="13.5" outlineLevel="1">
      <c r="B240" s="5"/>
      <c r="C240" s="261"/>
      <c r="D240" s="261" t="s">
        <v>64</v>
      </c>
      <c r="E240" s="262">
        <v>783803140</v>
      </c>
      <c r="F240" s="625" t="s">
        <v>730</v>
      </c>
      <c r="G240" s="625"/>
      <c r="H240" s="625"/>
      <c r="I240" s="625"/>
      <c r="J240" s="174" t="s">
        <v>65</v>
      </c>
      <c r="K240" s="264">
        <f>K238</f>
        <v>98.64</v>
      </c>
      <c r="L240" s="626"/>
      <c r="M240" s="626"/>
      <c r="N240" s="619">
        <f>ROUND(L240*K240,2)</f>
        <v>0</v>
      </c>
      <c r="O240" s="619"/>
      <c r="P240" s="619"/>
      <c r="Q240" s="619"/>
      <c r="R240" s="6"/>
      <c r="T240" s="142"/>
    </row>
    <row r="241" spans="2:28" ht="11.25" customHeight="1" outlineLevel="1">
      <c r="B241" s="5"/>
      <c r="C241" s="267"/>
      <c r="D241" s="267" t="s">
        <v>71</v>
      </c>
      <c r="E241" s="320" t="s">
        <v>731</v>
      </c>
      <c r="F241" s="651" t="s">
        <v>732</v>
      </c>
      <c r="G241" s="651"/>
      <c r="H241" s="651"/>
      <c r="I241" s="651"/>
      <c r="J241" s="179" t="s">
        <v>733</v>
      </c>
      <c r="K241" s="268">
        <f>K240*0.3*2</f>
        <v>59.184</v>
      </c>
      <c r="L241" s="652"/>
      <c r="M241" s="652"/>
      <c r="N241" s="653">
        <f>ROUND(L241*K241,2)</f>
        <v>0</v>
      </c>
      <c r="O241" s="619"/>
      <c r="P241" s="619"/>
      <c r="Q241" s="619"/>
      <c r="R241" s="6"/>
      <c r="T241" s="142"/>
      <c r="V241" s="4"/>
      <c r="W241" s="4"/>
      <c r="X241" s="4"/>
      <c r="Y241" s="4"/>
      <c r="Z241" s="4"/>
      <c r="AA241" s="4"/>
      <c r="AB241" s="4"/>
    </row>
    <row r="242" spans="2:20" ht="11.25" customHeight="1" outlineLevel="1">
      <c r="B242" s="5"/>
      <c r="C242" s="261"/>
      <c r="D242" s="261" t="s">
        <v>64</v>
      </c>
      <c r="E242" s="262">
        <v>985311112</v>
      </c>
      <c r="F242" s="625" t="s">
        <v>703</v>
      </c>
      <c r="G242" s="625"/>
      <c r="H242" s="625"/>
      <c r="I242" s="625"/>
      <c r="J242" s="174" t="s">
        <v>65</v>
      </c>
      <c r="K242" s="264">
        <f>K238</f>
        <v>98.64</v>
      </c>
      <c r="L242" s="626"/>
      <c r="M242" s="626"/>
      <c r="N242" s="619">
        <f>ROUND(L242*K242,2)</f>
        <v>0</v>
      </c>
      <c r="O242" s="619"/>
      <c r="P242" s="619"/>
      <c r="Q242" s="619"/>
      <c r="R242" s="6"/>
      <c r="T242" s="142"/>
    </row>
    <row r="243" spans="2:20" ht="13.5" outlineLevel="1">
      <c r="B243" s="5"/>
      <c r="C243" s="261"/>
      <c r="D243" s="261" t="s">
        <v>64</v>
      </c>
      <c r="E243" s="262">
        <v>711192202</v>
      </c>
      <c r="F243" s="625" t="s">
        <v>418</v>
      </c>
      <c r="G243" s="625"/>
      <c r="H243" s="625"/>
      <c r="I243" s="625"/>
      <c r="J243" s="174" t="s">
        <v>65</v>
      </c>
      <c r="K243" s="264">
        <f>SUM(K244:K244)</f>
        <v>16.439999999999998</v>
      </c>
      <c r="L243" s="626"/>
      <c r="M243" s="626"/>
      <c r="N243" s="619">
        <f>ROUND(L243*K243,2)</f>
        <v>0</v>
      </c>
      <c r="O243" s="619"/>
      <c r="P243" s="619"/>
      <c r="Q243" s="619"/>
      <c r="R243" s="6"/>
      <c r="T243" s="142"/>
    </row>
    <row r="244" spans="2:29" s="177" customFormat="1" ht="22.5" outlineLevel="1">
      <c r="B244" s="175"/>
      <c r="E244" s="319" t="s">
        <v>1959</v>
      </c>
      <c r="F244" s="627" t="s">
        <v>1960</v>
      </c>
      <c r="G244" s="628">
        <f>(12.3+7.6+2.9+32.5+7.7+19.2)*(1-0.8)</f>
        <v>16.439999999999998</v>
      </c>
      <c r="H244" s="628">
        <f>(12.3+7.6+2.9+32.5+7.7+19.2)*(1-0.8)</f>
        <v>16.439999999999998</v>
      </c>
      <c r="I244" s="628">
        <f>(12.3+7.6+2.9+32.5+7.7+19.2)*(1-0.8)</f>
        <v>16.439999999999998</v>
      </c>
      <c r="J244" s="176"/>
      <c r="K244" s="266">
        <f>(12.3+7.6+2.9+32.5+7.7+19.2)*(1-0.8)</f>
        <v>16.439999999999998</v>
      </c>
      <c r="L244" s="419"/>
      <c r="M244" s="419"/>
      <c r="R244" s="178"/>
      <c r="T244" s="142"/>
      <c r="AC244" s="386"/>
    </row>
    <row r="245" spans="2:20" ht="13.5" outlineLevel="1">
      <c r="B245" s="5"/>
      <c r="C245" s="261"/>
      <c r="D245" s="261" t="s">
        <v>64</v>
      </c>
      <c r="E245" s="262">
        <v>711199101</v>
      </c>
      <c r="F245" s="625" t="s">
        <v>705</v>
      </c>
      <c r="G245" s="625"/>
      <c r="H245" s="625"/>
      <c r="I245" s="625"/>
      <c r="J245" s="174" t="s">
        <v>70</v>
      </c>
      <c r="K245" s="264">
        <f>SUM(K246:K246)</f>
        <v>5</v>
      </c>
      <c r="L245" s="626"/>
      <c r="M245" s="626"/>
      <c r="N245" s="619">
        <f>ROUND(L245*K245,2)</f>
        <v>0</v>
      </c>
      <c r="O245" s="619"/>
      <c r="P245" s="619"/>
      <c r="Q245" s="619"/>
      <c r="R245" s="6"/>
      <c r="T245" s="142"/>
    </row>
    <row r="246" spans="2:29" s="177" customFormat="1" ht="13.5" outlineLevel="1">
      <c r="B246" s="175"/>
      <c r="E246" s="319" t="s">
        <v>707</v>
      </c>
      <c r="F246" s="627" t="s">
        <v>857</v>
      </c>
      <c r="G246" s="628">
        <f>25*1.2</f>
        <v>30</v>
      </c>
      <c r="H246" s="628">
        <f>25*1.2</f>
        <v>30</v>
      </c>
      <c r="I246" s="628">
        <f>25*1.2</f>
        <v>30</v>
      </c>
      <c r="J246" s="176"/>
      <c r="K246" s="266">
        <f>25*0.2</f>
        <v>5</v>
      </c>
      <c r="L246" s="419"/>
      <c r="M246" s="419"/>
      <c r="R246" s="178"/>
      <c r="T246" s="142"/>
      <c r="AC246" s="386"/>
    </row>
    <row r="247" spans="2:28" ht="11.25" customHeight="1" outlineLevel="1">
      <c r="B247" s="5"/>
      <c r="C247" s="267"/>
      <c r="D247" s="267" t="s">
        <v>71</v>
      </c>
      <c r="E247" s="320" t="s">
        <v>726</v>
      </c>
      <c r="F247" s="651" t="s">
        <v>727</v>
      </c>
      <c r="G247" s="651"/>
      <c r="H247" s="651"/>
      <c r="I247" s="651"/>
      <c r="J247" s="179" t="s">
        <v>420</v>
      </c>
      <c r="K247" s="268">
        <f>SUM(K248:K248)</f>
        <v>65.1024</v>
      </c>
      <c r="L247" s="652"/>
      <c r="M247" s="652"/>
      <c r="N247" s="653">
        <f>ROUND(L247*K247,2)</f>
        <v>0</v>
      </c>
      <c r="O247" s="619"/>
      <c r="P247" s="619"/>
      <c r="Q247" s="619"/>
      <c r="R247" s="6"/>
      <c r="T247" s="142"/>
      <c r="V247" s="4"/>
      <c r="W247" s="4"/>
      <c r="X247" s="4"/>
      <c r="Y247" s="4"/>
      <c r="Z247" s="4"/>
      <c r="AA247" s="4"/>
      <c r="AB247" s="4"/>
    </row>
    <row r="248" spans="2:29" s="177" customFormat="1" ht="13.5" outlineLevel="1">
      <c r="B248" s="175"/>
      <c r="E248" s="319" t="s">
        <v>708</v>
      </c>
      <c r="F248" s="627" t="s">
        <v>711</v>
      </c>
      <c r="G248" s="628"/>
      <c r="H248" s="628"/>
      <c r="I248" s="628"/>
      <c r="J248" s="176">
        <f>1.8*2*1.1</f>
        <v>3.9600000000000004</v>
      </c>
      <c r="K248" s="266">
        <f>(K243)*J248</f>
        <v>65.1024</v>
      </c>
      <c r="L248" s="419"/>
      <c r="M248" s="419"/>
      <c r="R248" s="178"/>
      <c r="T248" s="142"/>
      <c r="AC248" s="386"/>
    </row>
    <row r="249" spans="2:28" ht="11.25" customHeight="1" outlineLevel="1">
      <c r="B249" s="5"/>
      <c r="C249" s="267"/>
      <c r="D249" s="267" t="s">
        <v>67</v>
      </c>
      <c r="E249" s="320" t="s">
        <v>709</v>
      </c>
      <c r="F249" s="651" t="s">
        <v>710</v>
      </c>
      <c r="G249" s="651"/>
      <c r="H249" s="651"/>
      <c r="I249" s="651"/>
      <c r="J249" s="179" t="s">
        <v>70</v>
      </c>
      <c r="K249" s="268">
        <f>SUM(K250:K251)</f>
        <v>5.5</v>
      </c>
      <c r="L249" s="652"/>
      <c r="M249" s="652"/>
      <c r="N249" s="653">
        <f>ROUND(L249*K249,2)</f>
        <v>0</v>
      </c>
      <c r="O249" s="619"/>
      <c r="P249" s="619"/>
      <c r="Q249" s="619"/>
      <c r="R249" s="6"/>
      <c r="T249" s="142"/>
      <c r="V249" s="4"/>
      <c r="W249" s="4"/>
      <c r="X249" s="4"/>
      <c r="Y249" s="4"/>
      <c r="Z249" s="4"/>
      <c r="AA249" s="4"/>
      <c r="AB249" s="4"/>
    </row>
    <row r="250" spans="2:29" s="177" customFormat="1" ht="13.5" outlineLevel="1">
      <c r="B250" s="175"/>
      <c r="E250" s="319" t="s">
        <v>707</v>
      </c>
      <c r="F250" s="627" t="s">
        <v>857</v>
      </c>
      <c r="G250" s="628">
        <f>25*1.2</f>
        <v>30</v>
      </c>
      <c r="H250" s="628">
        <f>25*1.2</f>
        <v>30</v>
      </c>
      <c r="I250" s="628">
        <f>25*1.2</f>
        <v>30</v>
      </c>
      <c r="J250" s="176"/>
      <c r="K250" s="266">
        <f>K246</f>
        <v>5</v>
      </c>
      <c r="L250" s="419"/>
      <c r="M250" s="419"/>
      <c r="R250" s="178"/>
      <c r="T250" s="142"/>
      <c r="AC250" s="386"/>
    </row>
    <row r="251" spans="2:29" s="177" customFormat="1" ht="22.5" outlineLevel="1">
      <c r="B251" s="175"/>
      <c r="E251" s="319" t="s">
        <v>712</v>
      </c>
      <c r="F251" s="627"/>
      <c r="G251" s="628"/>
      <c r="H251" s="628"/>
      <c r="I251" s="628"/>
      <c r="J251" s="314">
        <v>0.1</v>
      </c>
      <c r="K251" s="266">
        <f>SUM(K250:K250)*J251</f>
        <v>0.5</v>
      </c>
      <c r="L251" s="419"/>
      <c r="M251" s="419"/>
      <c r="R251" s="178"/>
      <c r="T251" s="142"/>
      <c r="AC251" s="386"/>
    </row>
    <row r="252" spans="2:28" ht="13.5" outlineLevel="1">
      <c r="B252" s="5"/>
      <c r="C252" s="261"/>
      <c r="D252" s="261" t="s">
        <v>64</v>
      </c>
      <c r="E252" s="262">
        <v>622327121</v>
      </c>
      <c r="F252" s="625" t="s">
        <v>737</v>
      </c>
      <c r="G252" s="625"/>
      <c r="H252" s="625"/>
      <c r="I252" s="625"/>
      <c r="J252" s="174" t="s">
        <v>65</v>
      </c>
      <c r="K252" s="264">
        <f>K238</f>
        <v>98.64</v>
      </c>
      <c r="L252" s="626"/>
      <c r="M252" s="626"/>
      <c r="N252" s="619">
        <f>ROUND(L252*K252,2)</f>
        <v>0</v>
      </c>
      <c r="O252" s="619"/>
      <c r="P252" s="619"/>
      <c r="Q252" s="619"/>
      <c r="R252" s="6"/>
      <c r="T252" s="142"/>
      <c r="V252" s="4"/>
      <c r="W252" s="4"/>
      <c r="X252" s="4"/>
      <c r="Y252" s="4"/>
      <c r="Z252" s="4"/>
      <c r="AA252" s="4"/>
      <c r="AB252" s="4"/>
    </row>
    <row r="253" spans="2:28" ht="27" customHeight="1" outlineLevel="1">
      <c r="B253" s="5"/>
      <c r="C253" s="261"/>
      <c r="D253" s="261" t="s">
        <v>64</v>
      </c>
      <c r="E253" s="262">
        <v>622327191</v>
      </c>
      <c r="F253" s="625" t="s">
        <v>739</v>
      </c>
      <c r="G253" s="625"/>
      <c r="H253" s="625"/>
      <c r="I253" s="625"/>
      <c r="J253" s="174" t="s">
        <v>65</v>
      </c>
      <c r="K253" s="264">
        <f>SUM(K254)</f>
        <v>197.28</v>
      </c>
      <c r="L253" s="626"/>
      <c r="M253" s="626"/>
      <c r="N253" s="619">
        <f>ROUND(L253*K253,2)</f>
        <v>0</v>
      </c>
      <c r="O253" s="619"/>
      <c r="P253" s="619"/>
      <c r="Q253" s="619"/>
      <c r="R253" s="6"/>
      <c r="T253" s="142"/>
      <c r="V253" s="4"/>
      <c r="W253" s="4"/>
      <c r="X253" s="4"/>
      <c r="Y253" s="4"/>
      <c r="Z253" s="4"/>
      <c r="AA253" s="4"/>
      <c r="AB253" s="4"/>
    </row>
    <row r="254" spans="2:29" s="177" customFormat="1" ht="13.5" outlineLevel="1">
      <c r="B254" s="175"/>
      <c r="E254" s="319" t="s">
        <v>738</v>
      </c>
      <c r="F254" s="627" t="s">
        <v>194</v>
      </c>
      <c r="G254" s="628" t="e">
        <f>G252*F254</f>
        <v>#VALUE!</v>
      </c>
      <c r="H254" s="628" t="e">
        <f>H252*G254</f>
        <v>#VALUE!</v>
      </c>
      <c r="I254" s="628" t="e">
        <f>I252*H254</f>
        <v>#VALUE!</v>
      </c>
      <c r="J254" s="176">
        <v>2</v>
      </c>
      <c r="K254" s="266">
        <f>K252*J254</f>
        <v>197.28</v>
      </c>
      <c r="L254" s="419"/>
      <c r="M254" s="419"/>
      <c r="R254" s="178"/>
      <c r="T254" s="142"/>
      <c r="AC254" s="386"/>
    </row>
    <row r="255" spans="2:20" ht="13.5" outlineLevel="1">
      <c r="B255" s="5"/>
      <c r="C255" s="261"/>
      <c r="D255" s="261" t="s">
        <v>64</v>
      </c>
      <c r="E255" s="262">
        <v>622142002</v>
      </c>
      <c r="F255" s="625" t="s">
        <v>734</v>
      </c>
      <c r="G255" s="625"/>
      <c r="H255" s="625"/>
      <c r="I255" s="625"/>
      <c r="J255" s="174" t="s">
        <v>65</v>
      </c>
      <c r="K255" s="264">
        <f>K252</f>
        <v>98.64</v>
      </c>
      <c r="L255" s="626"/>
      <c r="M255" s="626"/>
      <c r="N255" s="619">
        <f>ROUND(L255*K255,2)</f>
        <v>0</v>
      </c>
      <c r="O255" s="619"/>
      <c r="P255" s="619"/>
      <c r="Q255" s="619"/>
      <c r="R255" s="6"/>
      <c r="T255" s="142"/>
    </row>
    <row r="256" spans="2:20" ht="13.5" outlineLevel="1">
      <c r="B256" s="5"/>
      <c r="C256" s="261"/>
      <c r="D256" s="261" t="s">
        <v>64</v>
      </c>
      <c r="E256" s="262">
        <v>783826615</v>
      </c>
      <c r="F256" s="625" t="s">
        <v>416</v>
      </c>
      <c r="G256" s="625"/>
      <c r="H256" s="625"/>
      <c r="I256" s="625"/>
      <c r="J256" s="174" t="s">
        <v>65</v>
      </c>
      <c r="K256" s="264">
        <f>K255</f>
        <v>98.64</v>
      </c>
      <c r="L256" s="626"/>
      <c r="M256" s="626"/>
      <c r="N256" s="619">
        <f>ROUND(L256*K256,2)</f>
        <v>0</v>
      </c>
      <c r="O256" s="619"/>
      <c r="P256" s="619"/>
      <c r="Q256" s="619"/>
      <c r="R256" s="6"/>
      <c r="T256" s="142"/>
    </row>
    <row r="257" spans="2:29" s="324" customFormat="1" ht="13.5" outlineLevel="1">
      <c r="B257" s="322"/>
      <c r="C257" s="327"/>
      <c r="D257" s="327" t="s">
        <v>740</v>
      </c>
      <c r="E257" s="648" t="s">
        <v>741</v>
      </c>
      <c r="F257" s="649"/>
      <c r="G257" s="649"/>
      <c r="H257" s="649"/>
      <c r="I257" s="650"/>
      <c r="J257" s="328"/>
      <c r="K257" s="329">
        <f>((6.66+3.62)*2+(4.57+6.66)*2+(4.9+3.7+1.3)*2+(5.9+3.7+4.7+5.9+6.1+6.6+6.3+3.2+5.6+5.4+4+2.5)*2+1.6*4)*2-K282-K287</f>
        <v>279.94000000000005</v>
      </c>
      <c r="L257" s="654"/>
      <c r="M257" s="654"/>
      <c r="N257" s="655"/>
      <c r="O257" s="655"/>
      <c r="P257" s="655"/>
      <c r="Q257" s="655"/>
      <c r="R257" s="323"/>
      <c r="T257" s="325"/>
      <c r="U257" s="326"/>
      <c r="V257" s="326"/>
      <c r="W257" s="326"/>
      <c r="X257" s="326"/>
      <c r="Y257" s="326"/>
      <c r="Z257" s="326"/>
      <c r="AA257" s="326"/>
      <c r="AB257" s="326"/>
      <c r="AC257" s="390"/>
    </row>
    <row r="258" spans="2:29" s="410" customFormat="1" ht="33" customHeight="1" outlineLevel="1">
      <c r="B258" s="409"/>
      <c r="E258" s="414" t="s">
        <v>2293</v>
      </c>
      <c r="F258" s="646" t="s">
        <v>2304</v>
      </c>
      <c r="G258" s="647" t="e">
        <f>((6.66+3.62)*2+(4.57+6.66)*2+(4.9+3.7+1.3)*2+(5.9+3.7+4.7+5.9+6.1+6.6+6.3+3.2+5.6+5.4+4+2.5)*2+1.6*4)*2-G283-G289</f>
        <v>#VALUE!</v>
      </c>
      <c r="H258" s="647" t="e">
        <f>((6.66+3.62)*2+(4.57+6.66)*2+(4.9+3.7+1.3)*2+(5.9+3.7+4.7+5.9+6.1+6.6+6.3+3.2+5.6+5.4+4+2.5)*2+1.6*4)*2-H283-H289</f>
        <v>#VALUE!</v>
      </c>
      <c r="I258" s="647" t="e">
        <f>((6.66+3.62)*2+(4.57+6.66)*2+(4.9+3.7+1.3)*2+(5.9+3.7+4.7+5.9+6.1+6.6+6.3+3.2+5.6+5.4+4+2.5)*2+1.6*4)*2-I283-I289</f>
        <v>#VALUE!</v>
      </c>
      <c r="J258" s="415"/>
      <c r="K258" s="416">
        <f>((6.66+3.62)*2+(4.57+6.66)*2+(4.9+3.7+1.3)*2+(5.9+3.7+4.7+5.9+6.1+6.6+6.3+3.2+5.6+5.4+4+2.5)*2+1.6*4)*2-K283-K287</f>
        <v>279.94000000000005</v>
      </c>
      <c r="L258" s="420"/>
      <c r="M258" s="420"/>
      <c r="R258" s="411"/>
      <c r="T258" s="412"/>
      <c r="AC258" s="413"/>
    </row>
    <row r="259" spans="2:20" ht="13.5" outlineLevel="1">
      <c r="B259" s="5"/>
      <c r="C259" s="261"/>
      <c r="D259" s="261" t="s">
        <v>64</v>
      </c>
      <c r="E259" s="262">
        <v>783803140</v>
      </c>
      <c r="F259" s="625" t="s">
        <v>730</v>
      </c>
      <c r="G259" s="625"/>
      <c r="H259" s="625"/>
      <c r="I259" s="625"/>
      <c r="J259" s="174" t="s">
        <v>65</v>
      </c>
      <c r="K259" s="264">
        <f>K257</f>
        <v>279.94000000000005</v>
      </c>
      <c r="L259" s="626"/>
      <c r="M259" s="626"/>
      <c r="N259" s="619">
        <f>ROUND(L259*K259,2)</f>
        <v>0</v>
      </c>
      <c r="O259" s="619"/>
      <c r="P259" s="619"/>
      <c r="Q259" s="619"/>
      <c r="R259" s="6"/>
      <c r="T259" s="142"/>
    </row>
    <row r="260" spans="2:28" ht="11.25" customHeight="1" outlineLevel="1">
      <c r="B260" s="5"/>
      <c r="C260" s="267"/>
      <c r="D260" s="267" t="s">
        <v>71</v>
      </c>
      <c r="E260" s="320" t="s">
        <v>731</v>
      </c>
      <c r="F260" s="651" t="s">
        <v>732</v>
      </c>
      <c r="G260" s="651"/>
      <c r="H260" s="651"/>
      <c r="I260" s="651"/>
      <c r="J260" s="179" t="s">
        <v>733</v>
      </c>
      <c r="K260" s="268">
        <f>K259*0.3*2</f>
        <v>167.96400000000003</v>
      </c>
      <c r="L260" s="652"/>
      <c r="M260" s="652"/>
      <c r="N260" s="653">
        <f>ROUND(L260*K260,2)</f>
        <v>0</v>
      </c>
      <c r="O260" s="619"/>
      <c r="P260" s="619"/>
      <c r="Q260" s="619"/>
      <c r="R260" s="6"/>
      <c r="T260" s="142"/>
      <c r="V260" s="4"/>
      <c r="W260" s="4"/>
      <c r="X260" s="4"/>
      <c r="Y260" s="4"/>
      <c r="Z260" s="4"/>
      <c r="AA260" s="4"/>
      <c r="AB260" s="4"/>
    </row>
    <row r="261" spans="2:20" ht="13.5" outlineLevel="1">
      <c r="B261" s="5"/>
      <c r="C261" s="261"/>
      <c r="D261" s="261" t="s">
        <v>64</v>
      </c>
      <c r="E261" s="262">
        <v>985311112</v>
      </c>
      <c r="F261" s="625" t="s">
        <v>703</v>
      </c>
      <c r="G261" s="625"/>
      <c r="H261" s="625"/>
      <c r="I261" s="625"/>
      <c r="J261" s="174" t="s">
        <v>65</v>
      </c>
      <c r="K261" s="264">
        <f>K257</f>
        <v>279.94000000000005</v>
      </c>
      <c r="L261" s="626"/>
      <c r="M261" s="626"/>
      <c r="N261" s="619">
        <f>ROUND(L261*K261,2)</f>
        <v>0</v>
      </c>
      <c r="O261" s="619"/>
      <c r="P261" s="619"/>
      <c r="Q261" s="619"/>
      <c r="R261" s="6"/>
      <c r="T261" s="142"/>
    </row>
    <row r="262" spans="2:20" ht="13.5" outlineLevel="1">
      <c r="B262" s="5"/>
      <c r="C262" s="261"/>
      <c r="D262" s="261" t="s">
        <v>64</v>
      </c>
      <c r="E262" s="262">
        <v>711192202</v>
      </c>
      <c r="F262" s="625" t="s">
        <v>418</v>
      </c>
      <c r="G262" s="625"/>
      <c r="H262" s="625"/>
      <c r="I262" s="625"/>
      <c r="J262" s="174" t="s">
        <v>65</v>
      </c>
      <c r="K262" s="264">
        <f>SUM(K263:K265)</f>
        <v>101.818</v>
      </c>
      <c r="L262" s="626"/>
      <c r="M262" s="626"/>
      <c r="N262" s="619">
        <f>ROUND(L262*K262,2)</f>
        <v>0</v>
      </c>
      <c r="O262" s="619"/>
      <c r="P262" s="619"/>
      <c r="Q262" s="619"/>
      <c r="R262" s="6"/>
      <c r="T262" s="142"/>
    </row>
    <row r="263" spans="2:29" s="177" customFormat="1" ht="38.25" customHeight="1" outlineLevel="1">
      <c r="B263" s="175"/>
      <c r="E263" s="319" t="s">
        <v>1961</v>
      </c>
      <c r="F263" s="627" t="s">
        <v>1972</v>
      </c>
      <c r="G263" s="628">
        <f>((6.66+3.62)*2+(4.57+6.66)*2+(4.9+3.7+1.3)*2+(5.9+3.7+4.7+5.9+6.1+6.6+6.3+3.2+5.6+5.4+4+2.5)*2)*0.5</f>
        <v>91.31</v>
      </c>
      <c r="H263" s="628">
        <f>((6.66+3.62)*2+(4.57+6.66)*2+(4.9+3.7+1.3)*2+(5.9+3.7+4.7+5.9+6.1+6.6+6.3+3.2+5.6+5.4+4+2.5)*2)*0.5</f>
        <v>91.31</v>
      </c>
      <c r="I263" s="628">
        <f>((6.66+3.62)*2+(4.57+6.66)*2+(4.9+3.7+1.3)*2+(5.9+3.7+4.7+5.9+6.1+6.6+6.3+3.2+5.6+5.4+4+2.5)*2)*0.5</f>
        <v>91.31</v>
      </c>
      <c r="J263" s="176"/>
      <c r="K263" s="266">
        <f>((6.66+3.62)*2+(4.57+6.66)*2+(4.9+3.7+1.3)*2+(5.9+3.7+4.7+5.9+6.1+6.6+6.3+3.2+5.6+5.4+4+2.5)*2+1.6*4)*0.7</f>
        <v>132.314</v>
      </c>
      <c r="L263" s="419"/>
      <c r="M263" s="419"/>
      <c r="R263" s="178"/>
      <c r="T263" s="142"/>
      <c r="AC263" s="248"/>
    </row>
    <row r="264" spans="2:29" s="177" customFormat="1" ht="13.5" outlineLevel="1">
      <c r="B264" s="175"/>
      <c r="E264" s="319" t="s">
        <v>1962</v>
      </c>
      <c r="F264" s="627" t="s">
        <v>194</v>
      </c>
      <c r="G264" s="628">
        <f aca="true" t="shared" si="5" ref="G264:I265">(12.3+7.6+2.9+32.5+7.7+19.2)*(1-0.8)</f>
        <v>16.439999999999998</v>
      </c>
      <c r="H264" s="628">
        <f t="shared" si="5"/>
        <v>16.439999999999998</v>
      </c>
      <c r="I264" s="628">
        <f t="shared" si="5"/>
        <v>16.439999999999998</v>
      </c>
      <c r="J264" s="176">
        <v>-1</v>
      </c>
      <c r="K264" s="266">
        <f>K282/J283*0.7*J264</f>
        <v>-17.5</v>
      </c>
      <c r="L264" s="419"/>
      <c r="M264" s="419"/>
      <c r="R264" s="178"/>
      <c r="T264" s="142"/>
      <c r="AC264" s="386"/>
    </row>
    <row r="265" spans="2:29" s="177" customFormat="1" ht="13.5" outlineLevel="1">
      <c r="B265" s="175"/>
      <c r="E265" s="319" t="s">
        <v>1963</v>
      </c>
      <c r="F265" s="627" t="s">
        <v>194</v>
      </c>
      <c r="G265" s="628">
        <f t="shared" si="5"/>
        <v>16.439999999999998</v>
      </c>
      <c r="H265" s="628">
        <f t="shared" si="5"/>
        <v>16.439999999999998</v>
      </c>
      <c r="I265" s="628">
        <f t="shared" si="5"/>
        <v>16.439999999999998</v>
      </c>
      <c r="J265" s="176">
        <v>-1</v>
      </c>
      <c r="K265" s="266">
        <f>K287/2*0.57*J265</f>
        <v>-12.995999999999997</v>
      </c>
      <c r="L265" s="419"/>
      <c r="M265" s="419"/>
      <c r="R265" s="178"/>
      <c r="T265" s="142"/>
      <c r="AC265" s="386"/>
    </row>
    <row r="266" spans="2:20" ht="13.5" outlineLevel="1">
      <c r="B266" s="5"/>
      <c r="C266" s="261"/>
      <c r="D266" s="261" t="s">
        <v>64</v>
      </c>
      <c r="E266" s="262">
        <v>711199101</v>
      </c>
      <c r="F266" s="625" t="s">
        <v>705</v>
      </c>
      <c r="G266" s="625"/>
      <c r="H266" s="625"/>
      <c r="I266" s="625"/>
      <c r="J266" s="174" t="s">
        <v>70</v>
      </c>
      <c r="K266" s="264">
        <f>SUM(K267:K267)</f>
        <v>204</v>
      </c>
      <c r="L266" s="626"/>
      <c r="M266" s="626"/>
      <c r="N266" s="619">
        <f>ROUND(L266*K266,2)</f>
        <v>0</v>
      </c>
      <c r="O266" s="619"/>
      <c r="P266" s="619"/>
      <c r="Q266" s="619"/>
      <c r="R266" s="6"/>
      <c r="T266" s="142"/>
    </row>
    <row r="267" spans="2:29" s="177" customFormat="1" ht="13.5" outlineLevel="1">
      <c r="B267" s="175"/>
      <c r="E267" s="319" t="s">
        <v>707</v>
      </c>
      <c r="F267" s="627" t="s">
        <v>858</v>
      </c>
      <c r="G267" s="628">
        <f>98*2</f>
        <v>196</v>
      </c>
      <c r="H267" s="628">
        <f>98*2</f>
        <v>196</v>
      </c>
      <c r="I267" s="628">
        <f>98*2</f>
        <v>196</v>
      </c>
      <c r="J267" s="176"/>
      <c r="K267" s="266">
        <f>98*2+4*2</f>
        <v>204</v>
      </c>
      <c r="L267" s="419"/>
      <c r="M267" s="419"/>
      <c r="R267" s="178"/>
      <c r="T267" s="142"/>
      <c r="AC267" s="386"/>
    </row>
    <row r="268" spans="2:28" ht="11.25" customHeight="1" outlineLevel="1">
      <c r="B268" s="5"/>
      <c r="C268" s="267"/>
      <c r="D268" s="267" t="s">
        <v>71</v>
      </c>
      <c r="E268" s="320" t="s">
        <v>726</v>
      </c>
      <c r="F268" s="651" t="s">
        <v>727</v>
      </c>
      <c r="G268" s="651"/>
      <c r="H268" s="651"/>
      <c r="I268" s="651"/>
      <c r="J268" s="179" t="s">
        <v>420</v>
      </c>
      <c r="K268" s="268">
        <f>SUM(K269:K269)</f>
        <v>403.19928000000004</v>
      </c>
      <c r="L268" s="652"/>
      <c r="M268" s="652"/>
      <c r="N268" s="653">
        <f>ROUND(L268*K268,2)</f>
        <v>0</v>
      </c>
      <c r="O268" s="619"/>
      <c r="P268" s="619"/>
      <c r="Q268" s="619"/>
      <c r="R268" s="6"/>
      <c r="T268" s="142"/>
      <c r="V268" s="4"/>
      <c r="W268" s="4"/>
      <c r="X268" s="4"/>
      <c r="Y268" s="4"/>
      <c r="Z268" s="4"/>
      <c r="AA268" s="4"/>
      <c r="AB268" s="4"/>
    </row>
    <row r="269" spans="2:29" s="177" customFormat="1" ht="13.5" outlineLevel="1">
      <c r="B269" s="175"/>
      <c r="E269" s="319" t="s">
        <v>708</v>
      </c>
      <c r="F269" s="627" t="s">
        <v>711</v>
      </c>
      <c r="G269" s="628"/>
      <c r="H269" s="628"/>
      <c r="I269" s="628"/>
      <c r="J269" s="176">
        <f>1.8*2*1.1</f>
        <v>3.9600000000000004</v>
      </c>
      <c r="K269" s="266">
        <f>(K262)*J269</f>
        <v>403.19928000000004</v>
      </c>
      <c r="L269" s="419"/>
      <c r="M269" s="419"/>
      <c r="R269" s="178"/>
      <c r="T269" s="142"/>
      <c r="AC269" s="386"/>
    </row>
    <row r="270" spans="2:28" ht="11.25" customHeight="1" outlineLevel="1">
      <c r="B270" s="5"/>
      <c r="C270" s="267"/>
      <c r="D270" s="267" t="s">
        <v>67</v>
      </c>
      <c r="E270" s="320" t="s">
        <v>709</v>
      </c>
      <c r="F270" s="651" t="s">
        <v>710</v>
      </c>
      <c r="G270" s="651"/>
      <c r="H270" s="651"/>
      <c r="I270" s="651"/>
      <c r="J270" s="179" t="s">
        <v>70</v>
      </c>
      <c r="K270" s="268">
        <f>SUM(K271:K272)</f>
        <v>224.4</v>
      </c>
      <c r="L270" s="652"/>
      <c r="M270" s="652"/>
      <c r="N270" s="653">
        <f>ROUND(L270*K270,2)</f>
        <v>0</v>
      </c>
      <c r="O270" s="619"/>
      <c r="P270" s="619"/>
      <c r="Q270" s="619"/>
      <c r="R270" s="6"/>
      <c r="T270" s="142"/>
      <c r="V270" s="4"/>
      <c r="W270" s="4"/>
      <c r="X270" s="4"/>
      <c r="Y270" s="4"/>
      <c r="Z270" s="4"/>
      <c r="AA270" s="4"/>
      <c r="AB270" s="4"/>
    </row>
    <row r="271" spans="2:29" s="177" customFormat="1" ht="13.5" outlineLevel="1">
      <c r="B271" s="175"/>
      <c r="E271" s="319" t="s">
        <v>707</v>
      </c>
      <c r="F271" s="627" t="s">
        <v>194</v>
      </c>
      <c r="G271" s="628">
        <f>G267</f>
        <v>196</v>
      </c>
      <c r="H271" s="628">
        <f>H267</f>
        <v>196</v>
      </c>
      <c r="I271" s="628">
        <f>I267</f>
        <v>196</v>
      </c>
      <c r="J271" s="176"/>
      <c r="K271" s="266">
        <f>K267</f>
        <v>204</v>
      </c>
      <c r="L271" s="419"/>
      <c r="M271" s="419"/>
      <c r="R271" s="178"/>
      <c r="T271" s="142"/>
      <c r="AC271" s="386"/>
    </row>
    <row r="272" spans="2:29" s="177" customFormat="1" ht="22.5" outlineLevel="1">
      <c r="B272" s="175"/>
      <c r="E272" s="319" t="s">
        <v>712</v>
      </c>
      <c r="F272" s="627"/>
      <c r="G272" s="628"/>
      <c r="H272" s="628"/>
      <c r="I272" s="628"/>
      <c r="J272" s="314">
        <v>0.1</v>
      </c>
      <c r="K272" s="266">
        <f>SUM(K271:K271)*J272</f>
        <v>20.400000000000002</v>
      </c>
      <c r="L272" s="419"/>
      <c r="M272" s="419"/>
      <c r="R272" s="178"/>
      <c r="T272" s="142"/>
      <c r="AC272" s="386"/>
    </row>
    <row r="273" spans="2:28" ht="13.5" outlineLevel="1">
      <c r="B273" s="5"/>
      <c r="C273" s="261"/>
      <c r="D273" s="261" t="s">
        <v>64</v>
      </c>
      <c r="E273" s="262">
        <v>612327121</v>
      </c>
      <c r="F273" s="625" t="s">
        <v>748</v>
      </c>
      <c r="G273" s="625"/>
      <c r="H273" s="625"/>
      <c r="I273" s="625"/>
      <c r="J273" s="174" t="s">
        <v>65</v>
      </c>
      <c r="K273" s="264">
        <f>K257</f>
        <v>279.94000000000005</v>
      </c>
      <c r="L273" s="626"/>
      <c r="M273" s="626"/>
      <c r="N273" s="619">
        <f>ROUND(L273*K273,2)</f>
        <v>0</v>
      </c>
      <c r="O273" s="619"/>
      <c r="P273" s="619"/>
      <c r="Q273" s="619"/>
      <c r="R273" s="6"/>
      <c r="T273" s="142"/>
      <c r="V273" s="4"/>
      <c r="W273" s="4"/>
      <c r="X273" s="4"/>
      <c r="Y273" s="4"/>
      <c r="Z273" s="4"/>
      <c r="AA273" s="4"/>
      <c r="AB273" s="4"/>
    </row>
    <row r="274" spans="2:28" ht="27" customHeight="1" outlineLevel="1">
      <c r="B274" s="5"/>
      <c r="C274" s="261"/>
      <c r="D274" s="261" t="s">
        <v>64</v>
      </c>
      <c r="E274" s="262">
        <v>612327191</v>
      </c>
      <c r="F274" s="625" t="s">
        <v>749</v>
      </c>
      <c r="G274" s="625"/>
      <c r="H274" s="625"/>
      <c r="I274" s="625"/>
      <c r="J274" s="174" t="s">
        <v>65</v>
      </c>
      <c r="K274" s="264">
        <f>SUM(K275)</f>
        <v>279.94000000000005</v>
      </c>
      <c r="L274" s="626"/>
      <c r="M274" s="626"/>
      <c r="N274" s="619">
        <f>ROUND(L274*K274,2)</f>
        <v>0</v>
      </c>
      <c r="O274" s="619"/>
      <c r="P274" s="619"/>
      <c r="Q274" s="619"/>
      <c r="R274" s="6"/>
      <c r="T274" s="142"/>
      <c r="V274" s="4"/>
      <c r="W274" s="4"/>
      <c r="X274" s="4"/>
      <c r="Y274" s="4"/>
      <c r="Z274" s="4"/>
      <c r="AA274" s="4"/>
      <c r="AB274" s="4"/>
    </row>
    <row r="275" spans="2:29" s="177" customFormat="1" ht="13.5" outlineLevel="1">
      <c r="B275" s="175"/>
      <c r="E275" s="319" t="s">
        <v>738</v>
      </c>
      <c r="F275" s="627" t="s">
        <v>194</v>
      </c>
      <c r="G275" s="628"/>
      <c r="H275" s="628"/>
      <c r="I275" s="628"/>
      <c r="J275" s="176">
        <v>1</v>
      </c>
      <c r="K275" s="266">
        <f>K273*J275</f>
        <v>279.94000000000005</v>
      </c>
      <c r="L275" s="419"/>
      <c r="M275" s="419"/>
      <c r="R275" s="178"/>
      <c r="T275" s="142"/>
      <c r="AC275" s="386"/>
    </row>
    <row r="276" spans="2:20" ht="13.5" outlineLevel="1">
      <c r="B276" s="5"/>
      <c r="C276" s="261"/>
      <c r="D276" s="261" t="s">
        <v>64</v>
      </c>
      <c r="E276" s="262">
        <v>622142002</v>
      </c>
      <c r="F276" s="625" t="s">
        <v>734</v>
      </c>
      <c r="G276" s="625"/>
      <c r="H276" s="625"/>
      <c r="I276" s="625"/>
      <c r="J276" s="174" t="s">
        <v>65</v>
      </c>
      <c r="K276" s="264">
        <f>K273</f>
        <v>279.94000000000005</v>
      </c>
      <c r="L276" s="626"/>
      <c r="M276" s="626"/>
      <c r="N276" s="619">
        <f>ROUND(L276*K276,2)</f>
        <v>0</v>
      </c>
      <c r="O276" s="619"/>
      <c r="P276" s="619"/>
      <c r="Q276" s="619"/>
      <c r="R276" s="6"/>
      <c r="T276" s="142"/>
    </row>
    <row r="277" spans="2:20" ht="13.5" outlineLevel="1">
      <c r="B277" s="5"/>
      <c r="C277" s="261"/>
      <c r="D277" s="261" t="s">
        <v>64</v>
      </c>
      <c r="E277" s="262">
        <v>612328131</v>
      </c>
      <c r="F277" s="625" t="s">
        <v>750</v>
      </c>
      <c r="G277" s="625"/>
      <c r="H277" s="625"/>
      <c r="I277" s="625"/>
      <c r="J277" s="174" t="s">
        <v>65</v>
      </c>
      <c r="K277" s="264">
        <f>K276</f>
        <v>279.94000000000005</v>
      </c>
      <c r="L277" s="626"/>
      <c r="M277" s="626"/>
      <c r="N277" s="619">
        <f>ROUND(L277*K277,2)</f>
        <v>0</v>
      </c>
      <c r="O277" s="619"/>
      <c r="P277" s="619"/>
      <c r="Q277" s="619"/>
      <c r="R277" s="6"/>
      <c r="T277" s="142"/>
    </row>
    <row r="278" spans="2:29" s="324" customFormat="1" ht="13.5" outlineLevel="1">
      <c r="B278" s="322"/>
      <c r="C278" s="327"/>
      <c r="D278" s="327" t="s">
        <v>742</v>
      </c>
      <c r="E278" s="648" t="s">
        <v>743</v>
      </c>
      <c r="F278" s="649"/>
      <c r="G278" s="649"/>
      <c r="H278" s="649"/>
      <c r="I278" s="650"/>
      <c r="J278" s="328"/>
      <c r="K278" s="329">
        <f>6.86+11.21+(2.6+4.3+4.2+1.4)*2*2.1</f>
        <v>70.57000000000001</v>
      </c>
      <c r="L278" s="654"/>
      <c r="M278" s="654"/>
      <c r="N278" s="655"/>
      <c r="O278" s="655"/>
      <c r="P278" s="655"/>
      <c r="Q278" s="655"/>
      <c r="R278" s="323"/>
      <c r="T278" s="325"/>
      <c r="U278" s="326"/>
      <c r="V278" s="326"/>
      <c r="W278" s="326"/>
      <c r="X278" s="326"/>
      <c r="Y278" s="326"/>
      <c r="Z278" s="326"/>
      <c r="AA278" s="326"/>
      <c r="AB278" s="326"/>
      <c r="AC278" s="390"/>
    </row>
    <row r="279" spans="2:29" s="410" customFormat="1" ht="13.5" outlineLevel="1">
      <c r="B279" s="409"/>
      <c r="E279" s="414" t="s">
        <v>2294</v>
      </c>
      <c r="F279" s="646" t="s">
        <v>2295</v>
      </c>
      <c r="G279" s="647">
        <f aca="true" t="shared" si="6" ref="G279:I279">6.86+11.21+(2.6+4.3+4.2+1.4)*2*2.1</f>
        <v>70.57000000000001</v>
      </c>
      <c r="H279" s="647">
        <f t="shared" si="6"/>
        <v>70.57000000000001</v>
      </c>
      <c r="I279" s="647">
        <f t="shared" si="6"/>
        <v>70.57000000000001</v>
      </c>
      <c r="J279" s="415"/>
      <c r="K279" s="416">
        <f>6.86+11.21+(2.6+4.3+4.2+1.4)*2*2.1</f>
        <v>70.57000000000001</v>
      </c>
      <c r="L279" s="420"/>
      <c r="M279" s="420"/>
      <c r="R279" s="411"/>
      <c r="T279" s="412"/>
      <c r="AC279" s="413"/>
    </row>
    <row r="280" spans="2:20" ht="13.5" outlineLevel="1">
      <c r="B280" s="5"/>
      <c r="C280" s="261"/>
      <c r="D280" s="261" t="s">
        <v>64</v>
      </c>
      <c r="E280" s="262">
        <v>611631001</v>
      </c>
      <c r="F280" s="625" t="s">
        <v>407</v>
      </c>
      <c r="G280" s="625"/>
      <c r="H280" s="625"/>
      <c r="I280" s="625"/>
      <c r="J280" s="174" t="s">
        <v>65</v>
      </c>
      <c r="K280" s="264">
        <f>SUM(K281)</f>
        <v>18.07</v>
      </c>
      <c r="L280" s="626"/>
      <c r="M280" s="626"/>
      <c r="N280" s="619">
        <f>ROUND(L280*K280,2)</f>
        <v>0</v>
      </c>
      <c r="O280" s="619"/>
      <c r="P280" s="619"/>
      <c r="Q280" s="619"/>
      <c r="R280" s="6"/>
      <c r="T280" s="142"/>
    </row>
    <row r="281" spans="2:29" s="177" customFormat="1" ht="13.5" outlineLevel="1">
      <c r="B281" s="175"/>
      <c r="E281" s="319" t="s">
        <v>693</v>
      </c>
      <c r="F281" s="627" t="s">
        <v>840</v>
      </c>
      <c r="G281" s="628">
        <f>6.86+11.21</f>
        <v>18.07</v>
      </c>
      <c r="H281" s="628">
        <f>6.86+11.21</f>
        <v>18.07</v>
      </c>
      <c r="I281" s="628">
        <f>6.86+11.21</f>
        <v>18.07</v>
      </c>
      <c r="J281" s="176"/>
      <c r="K281" s="266">
        <f>6.86+11.21</f>
        <v>18.07</v>
      </c>
      <c r="L281" s="419"/>
      <c r="M281" s="419"/>
      <c r="R281" s="178"/>
      <c r="T281" s="142"/>
      <c r="AC281" s="386"/>
    </row>
    <row r="282" spans="2:20" ht="13.5" outlineLevel="1">
      <c r="B282" s="5"/>
      <c r="C282" s="261"/>
      <c r="D282" s="261" t="s">
        <v>64</v>
      </c>
      <c r="E282" s="262">
        <v>612631001</v>
      </c>
      <c r="F282" s="625" t="s">
        <v>408</v>
      </c>
      <c r="G282" s="625"/>
      <c r="H282" s="625"/>
      <c r="I282" s="625"/>
      <c r="J282" s="174" t="s">
        <v>65</v>
      </c>
      <c r="K282" s="264">
        <f>SUM(K283)</f>
        <v>52.50000000000001</v>
      </c>
      <c r="L282" s="626"/>
      <c r="M282" s="626"/>
      <c r="N282" s="619">
        <f>ROUND(L282*K282,2)</f>
        <v>0</v>
      </c>
      <c r="O282" s="619"/>
      <c r="P282" s="619"/>
      <c r="Q282" s="619"/>
      <c r="R282" s="6"/>
      <c r="T282" s="142"/>
    </row>
    <row r="283" spans="2:29" s="177" customFormat="1" ht="13.5" outlineLevel="1">
      <c r="B283" s="175"/>
      <c r="E283" s="319" t="s">
        <v>692</v>
      </c>
      <c r="F283" s="627" t="s">
        <v>841</v>
      </c>
      <c r="G283" s="628" t="e">
        <f>(2.6+4.3+4.2+1.4)*2*F283</f>
        <v>#VALUE!</v>
      </c>
      <c r="H283" s="628" t="e">
        <f>(2.6+4.3+4.2+1.4)*2*G283</f>
        <v>#VALUE!</v>
      </c>
      <c r="I283" s="628" t="e">
        <f>(2.6+4.3+4.2+1.4)*2*H283</f>
        <v>#VALUE!</v>
      </c>
      <c r="J283" s="176">
        <v>2.1</v>
      </c>
      <c r="K283" s="266">
        <f>(2.6+4.3+4.2+1.4)*2*J283</f>
        <v>52.50000000000001</v>
      </c>
      <c r="L283" s="419"/>
      <c r="M283" s="419"/>
      <c r="R283" s="178"/>
      <c r="T283" s="142"/>
      <c r="AC283" s="386"/>
    </row>
    <row r="284" spans="2:20" ht="13.5" outlineLevel="1">
      <c r="B284" s="5"/>
      <c r="C284" s="261"/>
      <c r="D284" s="261" t="s">
        <v>64</v>
      </c>
      <c r="E284" s="262">
        <v>783807500</v>
      </c>
      <c r="F284" s="625" t="s">
        <v>744</v>
      </c>
      <c r="G284" s="625"/>
      <c r="H284" s="625"/>
      <c r="I284" s="625"/>
      <c r="J284" s="174" t="s">
        <v>65</v>
      </c>
      <c r="K284" s="264">
        <f>K278</f>
        <v>70.57000000000001</v>
      </c>
      <c r="L284" s="626"/>
      <c r="M284" s="626"/>
      <c r="N284" s="619">
        <f>ROUND(L284*K284,2)</f>
        <v>0</v>
      </c>
      <c r="O284" s="619"/>
      <c r="P284" s="619"/>
      <c r="Q284" s="619"/>
      <c r="R284" s="6"/>
      <c r="T284" s="142"/>
    </row>
    <row r="285" spans="2:28" ht="11.25" customHeight="1" outlineLevel="1">
      <c r="B285" s="5"/>
      <c r="C285" s="267"/>
      <c r="D285" s="267" t="s">
        <v>67</v>
      </c>
      <c r="E285" s="320" t="s">
        <v>746</v>
      </c>
      <c r="F285" s="651" t="s">
        <v>747</v>
      </c>
      <c r="G285" s="651"/>
      <c r="H285" s="651"/>
      <c r="I285" s="651"/>
      <c r="J285" s="179" t="s">
        <v>420</v>
      </c>
      <c r="K285" s="268">
        <f>SUM(K286:K286)</f>
        <v>21.171000000000003</v>
      </c>
      <c r="L285" s="652"/>
      <c r="M285" s="652"/>
      <c r="N285" s="653">
        <f>ROUND(L285*K285,2)</f>
        <v>0</v>
      </c>
      <c r="O285" s="619"/>
      <c r="P285" s="619"/>
      <c r="Q285" s="619"/>
      <c r="R285" s="6"/>
      <c r="T285" s="142"/>
      <c r="V285" s="4"/>
      <c r="W285" s="4"/>
      <c r="X285" s="4"/>
      <c r="Y285" s="4"/>
      <c r="Z285" s="4"/>
      <c r="AA285" s="4"/>
      <c r="AB285" s="4"/>
    </row>
    <row r="286" spans="2:29" s="177" customFormat="1" ht="13.5" outlineLevel="1">
      <c r="B286" s="175"/>
      <c r="E286" s="319" t="s">
        <v>745</v>
      </c>
      <c r="F286" s="627" t="s">
        <v>194</v>
      </c>
      <c r="G286" s="628"/>
      <c r="H286" s="628"/>
      <c r="I286" s="628"/>
      <c r="J286" s="176">
        <v>0.3</v>
      </c>
      <c r="K286" s="266">
        <f>K284*J286</f>
        <v>21.171000000000003</v>
      </c>
      <c r="L286" s="419"/>
      <c r="M286" s="419"/>
      <c r="R286" s="178"/>
      <c r="T286" s="142"/>
      <c r="AC286" s="386"/>
    </row>
    <row r="287" spans="2:29" s="324" customFormat="1" ht="13.5" outlineLevel="1">
      <c r="B287" s="322"/>
      <c r="C287" s="327"/>
      <c r="D287" s="327" t="s">
        <v>751</v>
      </c>
      <c r="E287" s="648" t="s">
        <v>1964</v>
      </c>
      <c r="F287" s="649"/>
      <c r="G287" s="649"/>
      <c r="H287" s="649"/>
      <c r="I287" s="650"/>
      <c r="J287" s="328"/>
      <c r="K287" s="329">
        <f>(6.7+1.6+6.7+3.7+4.1)*2</f>
        <v>45.599999999999994</v>
      </c>
      <c r="L287" s="654"/>
      <c r="M287" s="654"/>
      <c r="N287" s="655"/>
      <c r="O287" s="655"/>
      <c r="P287" s="655"/>
      <c r="Q287" s="655"/>
      <c r="R287" s="323"/>
      <c r="T287" s="325"/>
      <c r="U287" s="326"/>
      <c r="V287" s="326"/>
      <c r="W287" s="326"/>
      <c r="X287" s="326"/>
      <c r="Y287" s="326"/>
      <c r="Z287" s="326"/>
      <c r="AA287" s="326"/>
      <c r="AB287" s="326"/>
      <c r="AC287" s="390"/>
    </row>
    <row r="288" spans="2:29" s="410" customFormat="1" ht="13.5" outlineLevel="1">
      <c r="B288" s="409"/>
      <c r="E288" s="414" t="s">
        <v>2296</v>
      </c>
      <c r="F288" s="646" t="s">
        <v>2297</v>
      </c>
      <c r="G288" s="647">
        <f aca="true" t="shared" si="7" ref="G288:I288">(6.7+1.6+6.7+3.7+4.1)*2</f>
        <v>45.599999999999994</v>
      </c>
      <c r="H288" s="647">
        <f t="shared" si="7"/>
        <v>45.599999999999994</v>
      </c>
      <c r="I288" s="647">
        <f t="shared" si="7"/>
        <v>45.599999999999994</v>
      </c>
      <c r="J288" s="415"/>
      <c r="K288" s="416">
        <f>(6.7+1.6+6.7+3.7+4.1)*2</f>
        <v>45.599999999999994</v>
      </c>
      <c r="L288" s="420"/>
      <c r="M288" s="420"/>
      <c r="R288" s="411"/>
      <c r="T288" s="412"/>
      <c r="AC288" s="413"/>
    </row>
    <row r="289" spans="2:20" ht="13.5" outlineLevel="1">
      <c r="B289" s="5"/>
      <c r="C289" s="261"/>
      <c r="D289" s="261" t="s">
        <v>64</v>
      </c>
      <c r="E289" s="262">
        <v>783803140</v>
      </c>
      <c r="F289" s="625" t="s">
        <v>730</v>
      </c>
      <c r="G289" s="625"/>
      <c r="H289" s="625"/>
      <c r="I289" s="625"/>
      <c r="J289" s="174" t="s">
        <v>65</v>
      </c>
      <c r="K289" s="264">
        <f>K287</f>
        <v>45.599999999999994</v>
      </c>
      <c r="L289" s="626"/>
      <c r="M289" s="626"/>
      <c r="N289" s="619">
        <f>ROUND(L289*K289,2)</f>
        <v>0</v>
      </c>
      <c r="O289" s="619"/>
      <c r="P289" s="619"/>
      <c r="Q289" s="619"/>
      <c r="R289" s="6"/>
      <c r="T289" s="142"/>
    </row>
    <row r="290" spans="2:28" ht="11.25" customHeight="1" outlineLevel="1">
      <c r="B290" s="5"/>
      <c r="C290" s="267"/>
      <c r="D290" s="267" t="s">
        <v>71</v>
      </c>
      <c r="E290" s="320" t="s">
        <v>731</v>
      </c>
      <c r="F290" s="651" t="s">
        <v>732</v>
      </c>
      <c r="G290" s="651"/>
      <c r="H290" s="651"/>
      <c r="I290" s="651"/>
      <c r="J290" s="179" t="s">
        <v>733</v>
      </c>
      <c r="K290" s="268">
        <f>K289*0.3*2</f>
        <v>27.359999999999996</v>
      </c>
      <c r="L290" s="652"/>
      <c r="M290" s="652"/>
      <c r="N290" s="653">
        <f>ROUND(L290*K290,2)</f>
        <v>0</v>
      </c>
      <c r="O290" s="619"/>
      <c r="P290" s="619"/>
      <c r="Q290" s="619"/>
      <c r="R290" s="6"/>
      <c r="T290" s="142"/>
      <c r="V290" s="4"/>
      <c r="W290" s="4"/>
      <c r="X290" s="4"/>
      <c r="Y290" s="4"/>
      <c r="Z290" s="4"/>
      <c r="AA290" s="4"/>
      <c r="AB290" s="4"/>
    </row>
    <row r="291" spans="2:20" ht="11.25" customHeight="1" outlineLevel="1">
      <c r="B291" s="5"/>
      <c r="C291" s="261"/>
      <c r="D291" s="261" t="s">
        <v>64</v>
      </c>
      <c r="E291" s="262">
        <v>985311112</v>
      </c>
      <c r="F291" s="625" t="s">
        <v>703</v>
      </c>
      <c r="G291" s="625"/>
      <c r="H291" s="625"/>
      <c r="I291" s="625"/>
      <c r="J291" s="174" t="s">
        <v>65</v>
      </c>
      <c r="K291" s="264">
        <f>K287</f>
        <v>45.599999999999994</v>
      </c>
      <c r="L291" s="626"/>
      <c r="M291" s="626"/>
      <c r="N291" s="619">
        <f>ROUND(L291*K291,2)</f>
        <v>0</v>
      </c>
      <c r="O291" s="619"/>
      <c r="P291" s="619"/>
      <c r="Q291" s="619"/>
      <c r="R291" s="6"/>
      <c r="T291" s="142"/>
    </row>
    <row r="292" spans="2:20" ht="13.5" outlineLevel="1">
      <c r="B292" s="5"/>
      <c r="C292" s="261"/>
      <c r="D292" s="261" t="s">
        <v>64</v>
      </c>
      <c r="E292" s="262">
        <v>711192202</v>
      </c>
      <c r="F292" s="625" t="s">
        <v>418</v>
      </c>
      <c r="G292" s="625"/>
      <c r="H292" s="625"/>
      <c r="I292" s="625"/>
      <c r="J292" s="174" t="s">
        <v>65</v>
      </c>
      <c r="K292" s="264">
        <f>K287</f>
        <v>45.599999999999994</v>
      </c>
      <c r="L292" s="626"/>
      <c r="M292" s="626"/>
      <c r="N292" s="619">
        <f>ROUND(L292*K292,2)</f>
        <v>0</v>
      </c>
      <c r="O292" s="619"/>
      <c r="P292" s="619"/>
      <c r="Q292" s="619"/>
      <c r="R292" s="6"/>
      <c r="T292" s="142"/>
    </row>
    <row r="293" spans="2:20" ht="13.5" outlineLevel="1">
      <c r="B293" s="5"/>
      <c r="C293" s="261"/>
      <c r="D293" s="261" t="s">
        <v>64</v>
      </c>
      <c r="E293" s="262">
        <v>711199101</v>
      </c>
      <c r="F293" s="625" t="s">
        <v>705</v>
      </c>
      <c r="G293" s="625"/>
      <c r="H293" s="625"/>
      <c r="I293" s="625"/>
      <c r="J293" s="174" t="s">
        <v>70</v>
      </c>
      <c r="K293" s="264">
        <f>SUM(K294:K294)</f>
        <v>18</v>
      </c>
      <c r="L293" s="626"/>
      <c r="M293" s="626"/>
      <c r="N293" s="619">
        <f>ROUND(L293*K293,2)</f>
        <v>0</v>
      </c>
      <c r="O293" s="619"/>
      <c r="P293" s="619"/>
      <c r="Q293" s="619"/>
      <c r="R293" s="6"/>
      <c r="T293" s="142"/>
    </row>
    <row r="294" spans="2:29" s="177" customFormat="1" ht="13.5" outlineLevel="1">
      <c r="B294" s="175"/>
      <c r="E294" s="319" t="s">
        <v>707</v>
      </c>
      <c r="F294" s="627" t="s">
        <v>859</v>
      </c>
      <c r="G294" s="628">
        <f>9*2</f>
        <v>18</v>
      </c>
      <c r="H294" s="628">
        <f>9*2</f>
        <v>18</v>
      </c>
      <c r="I294" s="628">
        <f>9*2</f>
        <v>18</v>
      </c>
      <c r="J294" s="176"/>
      <c r="K294" s="266">
        <f>9*2</f>
        <v>18</v>
      </c>
      <c r="L294" s="419"/>
      <c r="M294" s="419"/>
      <c r="R294" s="178"/>
      <c r="T294" s="142"/>
      <c r="AC294" s="386"/>
    </row>
    <row r="295" spans="2:28" ht="11.25" customHeight="1" outlineLevel="1">
      <c r="B295" s="5"/>
      <c r="C295" s="267"/>
      <c r="D295" s="267" t="s">
        <v>71</v>
      </c>
      <c r="E295" s="320" t="s">
        <v>726</v>
      </c>
      <c r="F295" s="651" t="s">
        <v>727</v>
      </c>
      <c r="G295" s="651"/>
      <c r="H295" s="651"/>
      <c r="I295" s="651"/>
      <c r="J295" s="179" t="s">
        <v>420</v>
      </c>
      <c r="K295" s="268">
        <f>SUM(K296:K296)</f>
        <v>180.576</v>
      </c>
      <c r="L295" s="652"/>
      <c r="M295" s="652"/>
      <c r="N295" s="653">
        <f>ROUND(L295*K295,2)</f>
        <v>0</v>
      </c>
      <c r="O295" s="619"/>
      <c r="P295" s="619"/>
      <c r="Q295" s="619"/>
      <c r="R295" s="6"/>
      <c r="T295" s="142"/>
      <c r="V295" s="4"/>
      <c r="W295" s="4"/>
      <c r="X295" s="4"/>
      <c r="Y295" s="4"/>
      <c r="Z295" s="4"/>
      <c r="AA295" s="4"/>
      <c r="AB295" s="4"/>
    </row>
    <row r="296" spans="2:29" s="177" customFormat="1" ht="13.5" outlineLevel="1">
      <c r="B296" s="175"/>
      <c r="E296" s="319" t="s">
        <v>708</v>
      </c>
      <c r="F296" s="627" t="s">
        <v>711</v>
      </c>
      <c r="G296" s="628"/>
      <c r="H296" s="628"/>
      <c r="I296" s="628"/>
      <c r="J296" s="176">
        <f>1.8*2*1.1</f>
        <v>3.9600000000000004</v>
      </c>
      <c r="K296" s="266">
        <f>(K292)*J296</f>
        <v>180.576</v>
      </c>
      <c r="L296" s="419"/>
      <c r="M296" s="419"/>
      <c r="R296" s="178"/>
      <c r="T296" s="142"/>
      <c r="AC296" s="386"/>
    </row>
    <row r="297" spans="2:28" ht="11.25" customHeight="1" outlineLevel="1">
      <c r="B297" s="5"/>
      <c r="C297" s="267"/>
      <c r="D297" s="267" t="s">
        <v>67</v>
      </c>
      <c r="E297" s="320" t="s">
        <v>709</v>
      </c>
      <c r="F297" s="651" t="s">
        <v>710</v>
      </c>
      <c r="G297" s="651"/>
      <c r="H297" s="651"/>
      <c r="I297" s="651"/>
      <c r="J297" s="179" t="s">
        <v>70</v>
      </c>
      <c r="K297" s="268">
        <f>SUM(K298:K299)</f>
        <v>19.8</v>
      </c>
      <c r="L297" s="652"/>
      <c r="M297" s="652"/>
      <c r="N297" s="653">
        <f>ROUND(L297*K297,2)</f>
        <v>0</v>
      </c>
      <c r="O297" s="619"/>
      <c r="P297" s="619"/>
      <c r="Q297" s="619"/>
      <c r="R297" s="6"/>
      <c r="T297" s="142"/>
      <c r="V297" s="4"/>
      <c r="W297" s="4"/>
      <c r="X297" s="4"/>
      <c r="Y297" s="4"/>
      <c r="Z297" s="4"/>
      <c r="AA297" s="4"/>
      <c r="AB297" s="4"/>
    </row>
    <row r="298" spans="2:29" s="177" customFormat="1" ht="13.5" outlineLevel="1">
      <c r="B298" s="175"/>
      <c r="E298" s="319" t="s">
        <v>707</v>
      </c>
      <c r="F298" s="627" t="s">
        <v>194</v>
      </c>
      <c r="G298" s="628"/>
      <c r="H298" s="628"/>
      <c r="I298" s="628"/>
      <c r="J298" s="176"/>
      <c r="K298" s="266">
        <f>K294</f>
        <v>18</v>
      </c>
      <c r="L298" s="419"/>
      <c r="M298" s="419"/>
      <c r="R298" s="178"/>
      <c r="T298" s="142"/>
      <c r="AC298" s="386"/>
    </row>
    <row r="299" spans="2:29" s="177" customFormat="1" ht="22.5" outlineLevel="1">
      <c r="B299" s="175"/>
      <c r="E299" s="319" t="s">
        <v>712</v>
      </c>
      <c r="F299" s="627"/>
      <c r="G299" s="628"/>
      <c r="H299" s="628"/>
      <c r="I299" s="628"/>
      <c r="J299" s="314">
        <v>0.1</v>
      </c>
      <c r="K299" s="266">
        <f>SUM(K298:K298)*J299</f>
        <v>1.8</v>
      </c>
      <c r="L299" s="419"/>
      <c r="M299" s="419"/>
      <c r="R299" s="178"/>
      <c r="T299" s="142"/>
      <c r="AC299" s="386"/>
    </row>
    <row r="300" spans="2:29" s="324" customFormat="1" ht="13.5" outlineLevel="1">
      <c r="B300" s="322"/>
      <c r="C300" s="327"/>
      <c r="D300" s="327" t="s">
        <v>403</v>
      </c>
      <c r="E300" s="648" t="s">
        <v>752</v>
      </c>
      <c r="F300" s="649"/>
      <c r="G300" s="649"/>
      <c r="H300" s="649"/>
      <c r="I300" s="650"/>
      <c r="J300" s="328"/>
      <c r="K300" s="329">
        <f>28.19+23.93+18.07+4.92+40.52+27.72+22.76+20+17.25+30.611</f>
        <v>233.97099999999998</v>
      </c>
      <c r="L300" s="654"/>
      <c r="M300" s="654"/>
      <c r="N300" s="655"/>
      <c r="O300" s="655"/>
      <c r="P300" s="655"/>
      <c r="Q300" s="655"/>
      <c r="R300" s="323"/>
      <c r="T300" s="325"/>
      <c r="U300" s="326"/>
      <c r="V300" s="326"/>
      <c r="W300" s="326"/>
      <c r="X300" s="326"/>
      <c r="Y300" s="326"/>
      <c r="Z300" s="326"/>
      <c r="AA300" s="326"/>
      <c r="AB300" s="326"/>
      <c r="AC300" s="390"/>
    </row>
    <row r="301" spans="2:29" s="410" customFormat="1" ht="13.5" outlineLevel="1">
      <c r="B301" s="409"/>
      <c r="E301" s="414" t="s">
        <v>2298</v>
      </c>
      <c r="F301" s="646" t="s">
        <v>2299</v>
      </c>
      <c r="G301" s="647">
        <f aca="true" t="shared" si="8" ref="G301:I301">28.19+23.93+18.07+4.92+40.52+27.72+22.76+20+17.25+30.611</f>
        <v>233.97099999999998</v>
      </c>
      <c r="H301" s="647">
        <f t="shared" si="8"/>
        <v>233.97099999999998</v>
      </c>
      <c r="I301" s="647">
        <f t="shared" si="8"/>
        <v>233.97099999999998</v>
      </c>
      <c r="J301" s="415"/>
      <c r="K301" s="416">
        <f>28.19+23.93+18.07+4.92+40.52+27.72+22.76+20+17.25+30.611</f>
        <v>233.97099999999998</v>
      </c>
      <c r="L301" s="420"/>
      <c r="M301" s="420"/>
      <c r="R301" s="411"/>
      <c r="T301" s="412"/>
      <c r="AC301" s="413"/>
    </row>
    <row r="302" spans="2:20" ht="13.5" outlineLevel="1">
      <c r="B302" s="5"/>
      <c r="C302" s="261"/>
      <c r="D302" s="261" t="s">
        <v>64</v>
      </c>
      <c r="E302" s="262">
        <v>213141111</v>
      </c>
      <c r="F302" s="625" t="s">
        <v>753</v>
      </c>
      <c r="G302" s="625"/>
      <c r="H302" s="625"/>
      <c r="I302" s="625"/>
      <c r="J302" s="174" t="s">
        <v>65</v>
      </c>
      <c r="K302" s="264">
        <f>K300</f>
        <v>233.97099999999998</v>
      </c>
      <c r="L302" s="626"/>
      <c r="M302" s="626"/>
      <c r="N302" s="619">
        <f>ROUND(L302*K302,2)</f>
        <v>0</v>
      </c>
      <c r="O302" s="619"/>
      <c r="P302" s="619"/>
      <c r="Q302" s="619"/>
      <c r="R302" s="6"/>
      <c r="T302" s="142"/>
    </row>
    <row r="303" spans="2:28" ht="11.25" customHeight="1" outlineLevel="1">
      <c r="B303" s="5"/>
      <c r="C303" s="267"/>
      <c r="D303" s="267" t="s">
        <v>67</v>
      </c>
      <c r="E303" s="320" t="s">
        <v>755</v>
      </c>
      <c r="F303" s="651" t="s">
        <v>121</v>
      </c>
      <c r="G303" s="651"/>
      <c r="H303" s="651"/>
      <c r="I303" s="651"/>
      <c r="J303" s="179" t="s">
        <v>65</v>
      </c>
      <c r="K303" s="268">
        <f>SUM(K304:K305)</f>
        <v>280.7652</v>
      </c>
      <c r="L303" s="652"/>
      <c r="M303" s="652"/>
      <c r="N303" s="653">
        <f>ROUND(L303*K303,2)</f>
        <v>0</v>
      </c>
      <c r="O303" s="619"/>
      <c r="P303" s="619"/>
      <c r="Q303" s="619"/>
      <c r="R303" s="6"/>
      <c r="T303" s="142"/>
      <c r="V303" s="4"/>
      <c r="W303" s="4"/>
      <c r="X303" s="4"/>
      <c r="Y303" s="4"/>
      <c r="Z303" s="4"/>
      <c r="AA303" s="4"/>
      <c r="AB303" s="4"/>
    </row>
    <row r="304" spans="2:29" s="177" customFormat="1" ht="13.5" outlineLevel="1">
      <c r="B304" s="175"/>
      <c r="E304" s="319" t="s">
        <v>754</v>
      </c>
      <c r="F304" s="627" t="s">
        <v>194</v>
      </c>
      <c r="G304" s="628"/>
      <c r="H304" s="628"/>
      <c r="I304" s="628"/>
      <c r="J304" s="176"/>
      <c r="K304" s="266">
        <f>K302</f>
        <v>233.97099999999998</v>
      </c>
      <c r="L304" s="419"/>
      <c r="M304" s="419"/>
      <c r="R304" s="178"/>
      <c r="T304" s="142"/>
      <c r="AC304" s="386"/>
    </row>
    <row r="305" spans="2:29" s="177" customFormat="1" ht="13.5" outlineLevel="1">
      <c r="B305" s="175"/>
      <c r="E305" s="319" t="s">
        <v>171</v>
      </c>
      <c r="F305" s="627"/>
      <c r="G305" s="628"/>
      <c r="H305" s="628"/>
      <c r="I305" s="628"/>
      <c r="J305" s="314">
        <v>0.2</v>
      </c>
      <c r="K305" s="266">
        <f>SUM(K304:K304)*J305</f>
        <v>46.7942</v>
      </c>
      <c r="L305" s="419"/>
      <c r="M305" s="419"/>
      <c r="R305" s="178"/>
      <c r="T305" s="142"/>
      <c r="AC305" s="386"/>
    </row>
    <row r="306" spans="2:20" ht="11.25" customHeight="1" outlineLevel="1">
      <c r="B306" s="5"/>
      <c r="C306" s="261"/>
      <c r="D306" s="261" t="s">
        <v>64</v>
      </c>
      <c r="E306" s="262">
        <v>635111142</v>
      </c>
      <c r="F306" s="625" t="s">
        <v>756</v>
      </c>
      <c r="G306" s="625"/>
      <c r="H306" s="625"/>
      <c r="I306" s="625"/>
      <c r="J306" s="174" t="s">
        <v>66</v>
      </c>
      <c r="K306" s="264">
        <f>SUM(K307)</f>
        <v>23.3971</v>
      </c>
      <c r="L306" s="626"/>
      <c r="M306" s="626"/>
      <c r="N306" s="619">
        <f>ROUND(L306*K306,2)</f>
        <v>0</v>
      </c>
      <c r="O306" s="619"/>
      <c r="P306" s="619"/>
      <c r="Q306" s="619"/>
      <c r="R306" s="6"/>
      <c r="T306" s="142"/>
    </row>
    <row r="307" spans="2:29" s="177" customFormat="1" ht="13.5" outlineLevel="1">
      <c r="B307" s="175"/>
      <c r="E307" s="319" t="s">
        <v>754</v>
      </c>
      <c r="F307" s="627" t="s">
        <v>2303</v>
      </c>
      <c r="G307" s="628"/>
      <c r="H307" s="628"/>
      <c r="I307" s="628"/>
      <c r="J307" s="176">
        <v>0.1</v>
      </c>
      <c r="K307" s="266">
        <f>K300*J307</f>
        <v>23.3971</v>
      </c>
      <c r="L307" s="419"/>
      <c r="M307" s="419"/>
      <c r="R307" s="178"/>
      <c r="T307" s="142"/>
      <c r="AC307" s="386"/>
    </row>
    <row r="308" spans="2:28" ht="27" customHeight="1" outlineLevel="1">
      <c r="B308" s="5"/>
      <c r="C308" s="261"/>
      <c r="D308" s="261" t="s">
        <v>64</v>
      </c>
      <c r="E308" s="262" t="s">
        <v>757</v>
      </c>
      <c r="F308" s="625" t="s">
        <v>758</v>
      </c>
      <c r="G308" s="625"/>
      <c r="H308" s="625"/>
      <c r="I308" s="625"/>
      <c r="J308" s="174" t="s">
        <v>65</v>
      </c>
      <c r="K308" s="264">
        <f>K300</f>
        <v>233.97099999999998</v>
      </c>
      <c r="L308" s="626"/>
      <c r="M308" s="626"/>
      <c r="N308" s="619">
        <f>ROUND(L308*K308,2)</f>
        <v>0</v>
      </c>
      <c r="O308" s="619"/>
      <c r="P308" s="619"/>
      <c r="Q308" s="619"/>
      <c r="R308" s="6"/>
      <c r="T308" s="142"/>
      <c r="V308" s="4"/>
      <c r="W308" s="4"/>
      <c r="X308" s="4"/>
      <c r="Y308" s="4"/>
      <c r="Z308" s="4"/>
      <c r="AA308" s="4"/>
      <c r="AB308" s="4"/>
    </row>
    <row r="309" spans="2:28" ht="27" customHeight="1" outlineLevel="1">
      <c r="B309" s="5"/>
      <c r="C309" s="261"/>
      <c r="D309" s="261" t="s">
        <v>64</v>
      </c>
      <c r="E309" s="262">
        <v>631311114</v>
      </c>
      <c r="F309" s="625" t="s">
        <v>759</v>
      </c>
      <c r="G309" s="625"/>
      <c r="H309" s="625"/>
      <c r="I309" s="625"/>
      <c r="J309" s="174" t="s">
        <v>66</v>
      </c>
      <c r="K309" s="264">
        <f>SUM(K310:K310)</f>
        <v>14.038259999999998</v>
      </c>
      <c r="L309" s="626"/>
      <c r="M309" s="626"/>
      <c r="N309" s="619">
        <f>ROUND(L309*K309,2)</f>
        <v>0</v>
      </c>
      <c r="O309" s="619"/>
      <c r="P309" s="619"/>
      <c r="Q309" s="619"/>
      <c r="R309" s="6"/>
      <c r="T309" s="142"/>
      <c r="V309" s="4"/>
      <c r="W309" s="4"/>
      <c r="X309" s="4"/>
      <c r="Y309" s="4"/>
      <c r="Z309" s="4"/>
      <c r="AA309" s="4"/>
      <c r="AB309" s="4"/>
    </row>
    <row r="310" spans="2:29" s="177" customFormat="1" ht="13.5" outlineLevel="1">
      <c r="B310" s="175"/>
      <c r="E310" s="319" t="s">
        <v>760</v>
      </c>
      <c r="F310" s="627" t="s">
        <v>194</v>
      </c>
      <c r="G310" s="628"/>
      <c r="H310" s="628"/>
      <c r="I310" s="628"/>
      <c r="J310" s="176">
        <v>0.06</v>
      </c>
      <c r="K310" s="266">
        <f>K300*J310</f>
        <v>14.038259999999998</v>
      </c>
      <c r="L310" s="419"/>
      <c r="M310" s="419"/>
      <c r="R310" s="178"/>
      <c r="T310" s="142"/>
      <c r="AC310" s="386"/>
    </row>
    <row r="311" spans="2:20" ht="13.5" outlineLevel="1">
      <c r="B311" s="5"/>
      <c r="C311" s="261"/>
      <c r="D311" s="261" t="s">
        <v>64</v>
      </c>
      <c r="E311" s="262">
        <v>631362021</v>
      </c>
      <c r="F311" s="625" t="s">
        <v>417</v>
      </c>
      <c r="G311" s="625"/>
      <c r="H311" s="625"/>
      <c r="I311" s="625"/>
      <c r="J311" s="174" t="s">
        <v>68</v>
      </c>
      <c r="K311" s="264">
        <f>SUM(K312:K313)</f>
        <v>0.8422955999999999</v>
      </c>
      <c r="L311" s="626"/>
      <c r="M311" s="626"/>
      <c r="N311" s="619">
        <f>ROUND(L311*K311,2)</f>
        <v>0</v>
      </c>
      <c r="O311" s="619"/>
      <c r="P311" s="619"/>
      <c r="Q311" s="619"/>
      <c r="R311" s="6"/>
      <c r="T311" s="142"/>
    </row>
    <row r="312" spans="2:29" s="177" customFormat="1" ht="13.5" outlineLevel="1">
      <c r="B312" s="175"/>
      <c r="E312" s="319" t="s">
        <v>761</v>
      </c>
      <c r="F312" s="627"/>
      <c r="G312" s="628"/>
      <c r="H312" s="628"/>
      <c r="I312" s="628"/>
      <c r="J312" s="176">
        <f>3/1000</f>
        <v>0.003</v>
      </c>
      <c r="K312" s="266">
        <f>K300*J312</f>
        <v>0.7019129999999999</v>
      </c>
      <c r="L312" s="419"/>
      <c r="M312" s="419"/>
      <c r="R312" s="178"/>
      <c r="T312" s="142"/>
      <c r="AC312" s="386"/>
    </row>
    <row r="313" spans="2:29" s="177" customFormat="1" ht="13.5" outlineLevel="1">
      <c r="B313" s="175"/>
      <c r="E313" s="319" t="s">
        <v>171</v>
      </c>
      <c r="F313" s="627"/>
      <c r="G313" s="628"/>
      <c r="H313" s="628"/>
      <c r="I313" s="628"/>
      <c r="J313" s="314">
        <v>0.2</v>
      </c>
      <c r="K313" s="266">
        <f>K312*J313</f>
        <v>0.1403826</v>
      </c>
      <c r="L313" s="419"/>
      <c r="M313" s="419"/>
      <c r="R313" s="178"/>
      <c r="T313" s="142"/>
      <c r="AC313" s="386"/>
    </row>
    <row r="314" spans="2:28" ht="27" customHeight="1" outlineLevel="1">
      <c r="B314" s="5"/>
      <c r="C314" s="261"/>
      <c r="D314" s="261" t="s">
        <v>64</v>
      </c>
      <c r="E314" s="262">
        <v>711191201</v>
      </c>
      <c r="F314" s="625" t="s">
        <v>419</v>
      </c>
      <c r="G314" s="625"/>
      <c r="H314" s="625"/>
      <c r="I314" s="625"/>
      <c r="J314" s="174" t="s">
        <v>65</v>
      </c>
      <c r="K314" s="264">
        <f>SUM(K315:K316)</f>
        <v>261.772</v>
      </c>
      <c r="L314" s="626"/>
      <c r="M314" s="626"/>
      <c r="N314" s="619">
        <f>ROUND(L314*K314,2)</f>
        <v>0</v>
      </c>
      <c r="O314" s="619"/>
      <c r="P314" s="619"/>
      <c r="Q314" s="619"/>
      <c r="R314" s="6"/>
      <c r="T314" s="142"/>
      <c r="V314" s="4"/>
      <c r="W314" s="4"/>
      <c r="X314" s="4"/>
      <c r="Y314" s="4"/>
      <c r="Z314" s="4"/>
      <c r="AA314" s="4"/>
      <c r="AB314" s="4"/>
    </row>
    <row r="315" spans="2:29" s="177" customFormat="1" ht="13.5" outlineLevel="1">
      <c r="B315" s="175"/>
      <c r="E315" s="319" t="s">
        <v>764</v>
      </c>
      <c r="F315" s="627" t="s">
        <v>194</v>
      </c>
      <c r="G315" s="628"/>
      <c r="H315" s="628"/>
      <c r="I315" s="628"/>
      <c r="J315" s="176"/>
      <c r="K315" s="266">
        <f>K300</f>
        <v>233.97099999999998</v>
      </c>
      <c r="L315" s="419"/>
      <c r="M315" s="419"/>
      <c r="R315" s="178"/>
      <c r="T315" s="142"/>
      <c r="AC315" s="386"/>
    </row>
    <row r="316" spans="2:29" s="177" customFormat="1" ht="13.5" outlineLevel="1">
      <c r="B316" s="175"/>
      <c r="E316" s="319" t="s">
        <v>763</v>
      </c>
      <c r="F316" s="627"/>
      <c r="G316" s="628"/>
      <c r="H316" s="628"/>
      <c r="I316" s="628"/>
      <c r="J316" s="176">
        <v>0.15</v>
      </c>
      <c r="K316" s="266">
        <f>K319*J316</f>
        <v>27.801000000000005</v>
      </c>
      <c r="L316" s="419"/>
      <c r="M316" s="419"/>
      <c r="R316" s="178"/>
      <c r="T316" s="142"/>
      <c r="AC316" s="386"/>
    </row>
    <row r="317" spans="2:28" ht="24.75" customHeight="1" outlineLevel="1">
      <c r="B317" s="5"/>
      <c r="C317" s="267"/>
      <c r="D317" s="267" t="s">
        <v>67</v>
      </c>
      <c r="E317" s="320">
        <v>24551030</v>
      </c>
      <c r="F317" s="651" t="s">
        <v>762</v>
      </c>
      <c r="G317" s="651"/>
      <c r="H317" s="651"/>
      <c r="I317" s="651"/>
      <c r="J317" s="179" t="s">
        <v>420</v>
      </c>
      <c r="K317" s="268">
        <f>SUM(K318)</f>
        <v>890.0247999999999</v>
      </c>
      <c r="L317" s="652"/>
      <c r="M317" s="652"/>
      <c r="N317" s="653">
        <f>ROUND(L317*K317,2)</f>
        <v>0</v>
      </c>
      <c r="O317" s="619"/>
      <c r="P317" s="619"/>
      <c r="Q317" s="619"/>
      <c r="R317" s="6"/>
      <c r="T317" s="312"/>
      <c r="V317" s="4"/>
      <c r="W317" s="4"/>
      <c r="X317" s="4"/>
      <c r="Y317" s="4"/>
      <c r="Z317" s="4"/>
      <c r="AA317" s="4"/>
      <c r="AB317" s="4"/>
    </row>
    <row r="318" spans="2:29" s="177" customFormat="1" ht="13.5" outlineLevel="1">
      <c r="B318" s="175"/>
      <c r="E318" s="319" t="s">
        <v>708</v>
      </c>
      <c r="F318" s="627" t="s">
        <v>194</v>
      </c>
      <c r="G318" s="628"/>
      <c r="H318" s="628"/>
      <c r="I318" s="628"/>
      <c r="J318" s="176">
        <v>3.4</v>
      </c>
      <c r="K318" s="266">
        <f>(K314)*J318</f>
        <v>890.0247999999999</v>
      </c>
      <c r="L318" s="419"/>
      <c r="M318" s="419"/>
      <c r="R318" s="178"/>
      <c r="T318" s="142"/>
      <c r="AC318" s="386"/>
    </row>
    <row r="319" spans="2:20" ht="13.5" outlineLevel="1">
      <c r="B319" s="5"/>
      <c r="C319" s="261"/>
      <c r="D319" s="261" t="s">
        <v>64</v>
      </c>
      <c r="E319" s="262">
        <v>711199101</v>
      </c>
      <c r="F319" s="625" t="s">
        <v>705</v>
      </c>
      <c r="G319" s="625"/>
      <c r="H319" s="625"/>
      <c r="I319" s="625"/>
      <c r="J319" s="174" t="s">
        <v>70</v>
      </c>
      <c r="K319" s="264">
        <f>SUM(K320:K320)</f>
        <v>185.34000000000003</v>
      </c>
      <c r="L319" s="626"/>
      <c r="M319" s="626"/>
      <c r="N319" s="619">
        <f>ROUND(L319*K319,2)</f>
        <v>0</v>
      </c>
      <c r="O319" s="619"/>
      <c r="P319" s="619"/>
      <c r="Q319" s="619"/>
      <c r="R319" s="6"/>
      <c r="T319" s="142"/>
    </row>
    <row r="320" spans="2:29" s="177" customFormat="1" ht="40.5" customHeight="1" outlineLevel="1">
      <c r="B320" s="175"/>
      <c r="E320" s="319" t="s">
        <v>715</v>
      </c>
      <c r="F320" s="627" t="s">
        <v>860</v>
      </c>
      <c r="G320" s="628">
        <f>(6.66+3.62+6.66+4.57+3.7+6.66+3.9+5.87+5.87+4.73+6.61+6.12+6.26+3.2+5.4+5.58+3.98+3.28)*2</f>
        <v>185.34000000000003</v>
      </c>
      <c r="H320" s="628">
        <f>(6.66+3.62+6.66+4.57+3.7+6.66+3.9+5.87+5.87+4.73+6.61+6.12+6.26+3.2+5.4+5.58+3.98+3.28)*2</f>
        <v>185.34000000000003</v>
      </c>
      <c r="I320" s="628">
        <f>(6.66+3.62+6.66+4.57+3.7+6.66+3.9+5.87+5.87+4.73+6.61+6.12+6.26+3.2+5.4+5.58+3.98+3.28)*2</f>
        <v>185.34000000000003</v>
      </c>
      <c r="J320" s="176"/>
      <c r="K320" s="266">
        <f>(6.66+3.62+6.66+4.57+3.7+6.66+3.9+5.87+5.87+4.73+6.61+6.12+6.26+3.2+5.4+5.58+3.98+3.28)*2</f>
        <v>185.34000000000003</v>
      </c>
      <c r="L320" s="419"/>
      <c r="M320" s="419"/>
      <c r="R320" s="178"/>
      <c r="T320" s="142"/>
      <c r="AC320" s="386"/>
    </row>
    <row r="321" spans="2:28" ht="11.25" customHeight="1" outlineLevel="1">
      <c r="B321" s="5"/>
      <c r="C321" s="267"/>
      <c r="D321" s="267" t="s">
        <v>67</v>
      </c>
      <c r="E321" s="320" t="s">
        <v>709</v>
      </c>
      <c r="F321" s="651" t="s">
        <v>710</v>
      </c>
      <c r="G321" s="651"/>
      <c r="H321" s="651"/>
      <c r="I321" s="651"/>
      <c r="J321" s="179" t="s">
        <v>70</v>
      </c>
      <c r="K321" s="268">
        <f>SUM(K322:K323)</f>
        <v>203.87400000000002</v>
      </c>
      <c r="L321" s="652"/>
      <c r="M321" s="652"/>
      <c r="N321" s="653">
        <f>ROUND(L321*K321,2)</f>
        <v>0</v>
      </c>
      <c r="O321" s="619"/>
      <c r="P321" s="619"/>
      <c r="Q321" s="619"/>
      <c r="R321" s="6"/>
      <c r="T321" s="142"/>
      <c r="V321" s="4"/>
      <c r="W321" s="4"/>
      <c r="X321" s="4"/>
      <c r="Y321" s="4"/>
      <c r="Z321" s="4"/>
      <c r="AA321" s="4"/>
      <c r="AB321" s="4"/>
    </row>
    <row r="322" spans="2:29" s="177" customFormat="1" ht="13.5" outlineLevel="1">
      <c r="B322" s="175"/>
      <c r="E322" s="319" t="s">
        <v>715</v>
      </c>
      <c r="F322" s="627" t="s">
        <v>194</v>
      </c>
      <c r="G322" s="628"/>
      <c r="H322" s="628"/>
      <c r="I322" s="628"/>
      <c r="J322" s="176"/>
      <c r="K322" s="266">
        <f>K319</f>
        <v>185.34000000000003</v>
      </c>
      <c r="L322" s="419"/>
      <c r="M322" s="419"/>
      <c r="R322" s="178"/>
      <c r="T322" s="142"/>
      <c r="AC322" s="386"/>
    </row>
    <row r="323" spans="2:29" s="177" customFormat="1" ht="22.5" outlineLevel="1">
      <c r="B323" s="175"/>
      <c r="E323" s="319" t="s">
        <v>712</v>
      </c>
      <c r="F323" s="627"/>
      <c r="G323" s="628"/>
      <c r="H323" s="628"/>
      <c r="I323" s="628"/>
      <c r="J323" s="314">
        <v>0.1</v>
      </c>
      <c r="K323" s="266">
        <f>SUM(K322:K322)*J323</f>
        <v>18.534000000000002</v>
      </c>
      <c r="L323" s="419"/>
      <c r="M323" s="419"/>
      <c r="R323" s="178"/>
      <c r="T323" s="142"/>
      <c r="AC323" s="386"/>
    </row>
    <row r="324" spans="2:29" s="324" customFormat="1" ht="13.5" outlineLevel="1">
      <c r="B324" s="322"/>
      <c r="C324" s="327"/>
      <c r="D324" s="327" t="s">
        <v>403</v>
      </c>
      <c r="E324" s="648" t="s">
        <v>765</v>
      </c>
      <c r="F324" s="649"/>
      <c r="G324" s="649"/>
      <c r="H324" s="649"/>
      <c r="I324" s="650"/>
      <c r="J324" s="328"/>
      <c r="K324" s="329">
        <f>11.21+4.24+2.92</f>
        <v>18.37</v>
      </c>
      <c r="L324" s="654"/>
      <c r="M324" s="654"/>
      <c r="N324" s="655"/>
      <c r="O324" s="655"/>
      <c r="P324" s="655"/>
      <c r="Q324" s="655"/>
      <c r="R324" s="323"/>
      <c r="T324" s="325"/>
      <c r="U324" s="326"/>
      <c r="V324" s="326"/>
      <c r="W324" s="326"/>
      <c r="X324" s="326"/>
      <c r="Y324" s="326"/>
      <c r="Z324" s="326"/>
      <c r="AA324" s="326"/>
      <c r="AB324" s="326"/>
      <c r="AC324" s="390"/>
    </row>
    <row r="325" spans="2:28" ht="27" customHeight="1" outlineLevel="1">
      <c r="B325" s="5"/>
      <c r="C325" s="261"/>
      <c r="D325" s="261" t="s">
        <v>64</v>
      </c>
      <c r="E325" s="262" t="s">
        <v>766</v>
      </c>
      <c r="F325" s="625" t="s">
        <v>767</v>
      </c>
      <c r="G325" s="625"/>
      <c r="H325" s="625"/>
      <c r="I325" s="625"/>
      <c r="J325" s="174" t="s">
        <v>70</v>
      </c>
      <c r="K325" s="264">
        <f>SUM(K326:K327)</f>
        <v>46</v>
      </c>
      <c r="L325" s="626"/>
      <c r="M325" s="626"/>
      <c r="N325" s="619">
        <f>ROUND(L325*K325,2)</f>
        <v>0</v>
      </c>
      <c r="O325" s="619"/>
      <c r="P325" s="619"/>
      <c r="Q325" s="619"/>
      <c r="R325" s="6"/>
      <c r="T325" s="142"/>
      <c r="V325" s="4"/>
      <c r="W325" s="4"/>
      <c r="X325" s="4"/>
      <c r="Y325" s="4"/>
      <c r="Z325" s="4"/>
      <c r="AA325" s="4"/>
      <c r="AB325" s="4"/>
    </row>
    <row r="326" spans="2:29" s="177" customFormat="1" ht="13.5" outlineLevel="1">
      <c r="B326" s="175"/>
      <c r="E326" s="319" t="s">
        <v>768</v>
      </c>
      <c r="F326" s="627" t="s">
        <v>861</v>
      </c>
      <c r="G326" s="628" t="e">
        <f>11*F326</f>
        <v>#VALUE!</v>
      </c>
      <c r="H326" s="628" t="e">
        <f>11*G326</f>
        <v>#VALUE!</v>
      </c>
      <c r="I326" s="628" t="e">
        <f>11*H326</f>
        <v>#VALUE!</v>
      </c>
      <c r="J326" s="176">
        <v>0.5</v>
      </c>
      <c r="K326" s="266">
        <f>11*J326</f>
        <v>5.5</v>
      </c>
      <c r="L326" s="419"/>
      <c r="M326" s="419"/>
      <c r="R326" s="178"/>
      <c r="T326" s="142"/>
      <c r="AC326" s="386"/>
    </row>
    <row r="327" spans="2:29" s="177" customFormat="1" ht="22.5" outlineLevel="1">
      <c r="B327" s="175"/>
      <c r="E327" s="319" t="s">
        <v>769</v>
      </c>
      <c r="F327" s="627"/>
      <c r="G327" s="628"/>
      <c r="H327" s="628"/>
      <c r="I327" s="628"/>
      <c r="J327" s="176">
        <v>3</v>
      </c>
      <c r="K327" s="266">
        <f>3*13.5</f>
        <v>40.5</v>
      </c>
      <c r="L327" s="419"/>
      <c r="M327" s="419"/>
      <c r="R327" s="178"/>
      <c r="T327" s="142"/>
      <c r="AC327" s="386"/>
    </row>
    <row r="328" spans="2:20" ht="11.25" customHeight="1" outlineLevel="1">
      <c r="B328" s="5"/>
      <c r="C328" s="261"/>
      <c r="D328" s="261" t="s">
        <v>64</v>
      </c>
      <c r="E328" s="262">
        <v>953735113</v>
      </c>
      <c r="F328" s="625" t="s">
        <v>770</v>
      </c>
      <c r="G328" s="625"/>
      <c r="H328" s="625"/>
      <c r="I328" s="625"/>
      <c r="J328" s="174" t="s">
        <v>70</v>
      </c>
      <c r="K328" s="264">
        <f>SUM(K329:K331)</f>
        <v>52.65</v>
      </c>
      <c r="L328" s="626"/>
      <c r="M328" s="626"/>
      <c r="N328" s="619">
        <f>ROUND(L328*K328,2)</f>
        <v>0</v>
      </c>
      <c r="O328" s="619"/>
      <c r="P328" s="619"/>
      <c r="Q328" s="619"/>
      <c r="R328" s="6"/>
      <c r="T328" s="142"/>
    </row>
    <row r="329" spans="2:29" s="177" customFormat="1" ht="13.5" outlineLevel="1">
      <c r="B329" s="175"/>
      <c r="E329" s="319" t="s">
        <v>771</v>
      </c>
      <c r="F329" s="627" t="s">
        <v>194</v>
      </c>
      <c r="G329" s="628">
        <f>G165</f>
        <v>0</v>
      </c>
      <c r="H329" s="628">
        <f>H165</f>
        <v>0</v>
      </c>
      <c r="I329" s="628">
        <f>I165</f>
        <v>0</v>
      </c>
      <c r="J329" s="176"/>
      <c r="K329" s="266">
        <f>K165</f>
        <v>13.649999999999999</v>
      </c>
      <c r="L329" s="419"/>
      <c r="M329" s="419"/>
      <c r="R329" s="178"/>
      <c r="T329" s="142"/>
      <c r="AC329" s="386"/>
    </row>
    <row r="330" spans="2:29" s="177" customFormat="1" ht="13.5" outlineLevel="1">
      <c r="B330" s="175"/>
      <c r="E330" s="319" t="s">
        <v>772</v>
      </c>
      <c r="F330" s="627" t="s">
        <v>862</v>
      </c>
      <c r="G330" s="628">
        <f>1*14+0.5*4+2+7+8</f>
        <v>33</v>
      </c>
      <c r="H330" s="628">
        <f>1*14+0.5*4+2+7+8</f>
        <v>33</v>
      </c>
      <c r="I330" s="628">
        <f>1*14+0.5*4+2+7+8</f>
        <v>33</v>
      </c>
      <c r="J330" s="176"/>
      <c r="K330" s="266">
        <f>1*14+0.5*4+2+7+8</f>
        <v>33</v>
      </c>
      <c r="L330" s="419"/>
      <c r="M330" s="419"/>
      <c r="R330" s="178"/>
      <c r="T330" s="142"/>
      <c r="AC330" s="386"/>
    </row>
    <row r="331" spans="2:29" s="177" customFormat="1" ht="13.5" outlineLevel="1">
      <c r="B331" s="175"/>
      <c r="E331" s="319" t="s">
        <v>773</v>
      </c>
      <c r="F331" s="627" t="s">
        <v>863</v>
      </c>
      <c r="G331" s="628">
        <f>1+2+3</f>
        <v>6</v>
      </c>
      <c r="H331" s="628">
        <f>1+2+3</f>
        <v>6</v>
      </c>
      <c r="I331" s="628">
        <f>1+2+3</f>
        <v>6</v>
      </c>
      <c r="J331" s="176"/>
      <c r="K331" s="266">
        <f>1+2+3</f>
        <v>6</v>
      </c>
      <c r="L331" s="419"/>
      <c r="M331" s="419"/>
      <c r="R331" s="178"/>
      <c r="T331" s="142"/>
      <c r="AC331" s="386"/>
    </row>
    <row r="332" spans="2:20" ht="11.25" customHeight="1" outlineLevel="1">
      <c r="B332" s="5"/>
      <c r="C332" s="261"/>
      <c r="D332" s="261" t="s">
        <v>64</v>
      </c>
      <c r="E332" s="262" t="s">
        <v>774</v>
      </c>
      <c r="F332" s="625" t="s">
        <v>775</v>
      </c>
      <c r="G332" s="625"/>
      <c r="H332" s="625"/>
      <c r="I332" s="625"/>
      <c r="J332" s="174" t="s">
        <v>69</v>
      </c>
      <c r="K332" s="264">
        <f>SUM(K333)</f>
        <v>9</v>
      </c>
      <c r="L332" s="626"/>
      <c r="M332" s="626"/>
      <c r="N332" s="619">
        <f>ROUND(L332*K332,2)</f>
        <v>0</v>
      </c>
      <c r="O332" s="619"/>
      <c r="P332" s="619"/>
      <c r="Q332" s="619"/>
      <c r="R332" s="6"/>
      <c r="T332" s="142"/>
    </row>
    <row r="333" spans="2:29" s="177" customFormat="1" ht="13.5" outlineLevel="1">
      <c r="B333" s="175"/>
      <c r="E333" s="319" t="s">
        <v>776</v>
      </c>
      <c r="F333" s="627" t="s">
        <v>864</v>
      </c>
      <c r="G333" s="628"/>
      <c r="H333" s="628"/>
      <c r="I333" s="628"/>
      <c r="J333" s="176"/>
      <c r="K333" s="266">
        <v>9</v>
      </c>
      <c r="L333" s="419"/>
      <c r="M333" s="419"/>
      <c r="R333" s="178"/>
      <c r="T333" s="142"/>
      <c r="AC333" s="386"/>
    </row>
    <row r="334" spans="2:28" ht="11.25" customHeight="1" outlineLevel="1">
      <c r="B334" s="5"/>
      <c r="C334" s="267"/>
      <c r="D334" s="267" t="s">
        <v>71</v>
      </c>
      <c r="E334" s="320" t="s">
        <v>779</v>
      </c>
      <c r="F334" s="651" t="s">
        <v>2305</v>
      </c>
      <c r="G334" s="651"/>
      <c r="H334" s="651"/>
      <c r="I334" s="651"/>
      <c r="J334" s="179" t="s">
        <v>69</v>
      </c>
      <c r="K334" s="268">
        <f>K332</f>
        <v>9</v>
      </c>
      <c r="L334" s="652"/>
      <c r="M334" s="652"/>
      <c r="N334" s="653">
        <f>ROUND(L334*K334,2)</f>
        <v>0</v>
      </c>
      <c r="O334" s="619"/>
      <c r="P334" s="619"/>
      <c r="Q334" s="619"/>
      <c r="R334" s="6"/>
      <c r="T334" s="142"/>
      <c r="V334" s="4"/>
      <c r="W334" s="4"/>
      <c r="X334" s="4"/>
      <c r="Y334" s="4"/>
      <c r="Z334" s="4"/>
      <c r="AA334" s="4"/>
      <c r="AB334" s="4"/>
    </row>
    <row r="335" spans="2:20" ht="11.25" customHeight="1" outlineLevel="1">
      <c r="B335" s="5"/>
      <c r="C335" s="261"/>
      <c r="D335" s="261" t="s">
        <v>64</v>
      </c>
      <c r="E335" s="262">
        <v>953731311</v>
      </c>
      <c r="F335" s="625" t="s">
        <v>777</v>
      </c>
      <c r="G335" s="625"/>
      <c r="H335" s="625"/>
      <c r="I335" s="625"/>
      <c r="J335" s="174" t="s">
        <v>69</v>
      </c>
      <c r="K335" s="264">
        <f>J327</f>
        <v>3</v>
      </c>
      <c r="L335" s="626"/>
      <c r="M335" s="626"/>
      <c r="N335" s="619">
        <f>ROUND(L335*K335,2)</f>
        <v>0</v>
      </c>
      <c r="O335" s="619"/>
      <c r="P335" s="619"/>
      <c r="Q335" s="619"/>
      <c r="R335" s="6"/>
      <c r="T335" s="142"/>
    </row>
    <row r="336" spans="2:28" ht="11.25" customHeight="1" outlineLevel="1">
      <c r="B336" s="5"/>
      <c r="C336" s="267"/>
      <c r="D336" s="267" t="s">
        <v>71</v>
      </c>
      <c r="E336" s="320" t="s">
        <v>778</v>
      </c>
      <c r="F336" s="651" t="s">
        <v>2306</v>
      </c>
      <c r="G336" s="651"/>
      <c r="H336" s="651"/>
      <c r="I336" s="651"/>
      <c r="J336" s="179" t="s">
        <v>69</v>
      </c>
      <c r="K336" s="268">
        <f>K335</f>
        <v>3</v>
      </c>
      <c r="L336" s="652"/>
      <c r="M336" s="652"/>
      <c r="N336" s="653">
        <f>ROUND(L336*K336,2)</f>
        <v>0</v>
      </c>
      <c r="O336" s="619"/>
      <c r="P336" s="619"/>
      <c r="Q336" s="619"/>
      <c r="R336" s="6"/>
      <c r="T336" s="142"/>
      <c r="V336" s="4"/>
      <c r="W336" s="4"/>
      <c r="X336" s="4"/>
      <c r="Y336" s="4"/>
      <c r="Z336" s="4"/>
      <c r="AA336" s="4"/>
      <c r="AB336" s="4"/>
    </row>
    <row r="337" spans="2:29" s="324" customFormat="1" ht="13.5" outlineLevel="1">
      <c r="B337" s="322"/>
      <c r="C337" s="327"/>
      <c r="D337" s="327" t="s">
        <v>404</v>
      </c>
      <c r="E337" s="648" t="s">
        <v>781</v>
      </c>
      <c r="F337" s="649"/>
      <c r="G337" s="649"/>
      <c r="H337" s="649"/>
      <c r="I337" s="650"/>
      <c r="J337" s="328"/>
      <c r="K337" s="329">
        <f>11.21+4.24+2.92</f>
        <v>18.37</v>
      </c>
      <c r="L337" s="654"/>
      <c r="M337" s="654"/>
      <c r="N337" s="655"/>
      <c r="O337" s="655"/>
      <c r="P337" s="655"/>
      <c r="Q337" s="655"/>
      <c r="R337" s="323"/>
      <c r="T337" s="325"/>
      <c r="U337" s="326"/>
      <c r="V337" s="326"/>
      <c r="W337" s="326"/>
      <c r="X337" s="326"/>
      <c r="Y337" s="326"/>
      <c r="Z337" s="326"/>
      <c r="AA337" s="326"/>
      <c r="AB337" s="326"/>
      <c r="AC337" s="390"/>
    </row>
    <row r="338" spans="2:29" s="410" customFormat="1" ht="13.5" outlineLevel="1">
      <c r="B338" s="409"/>
      <c r="E338" s="414" t="s">
        <v>2301</v>
      </c>
      <c r="F338" s="646" t="s">
        <v>2300</v>
      </c>
      <c r="G338" s="647">
        <f aca="true" t="shared" si="9" ref="G338:I338">11.21+4.24+2.92</f>
        <v>18.37</v>
      </c>
      <c r="H338" s="647">
        <f t="shared" si="9"/>
        <v>18.37</v>
      </c>
      <c r="I338" s="647">
        <f t="shared" si="9"/>
        <v>18.37</v>
      </c>
      <c r="J338" s="415"/>
      <c r="K338" s="416">
        <f>11.21+4.24+2.92</f>
        <v>18.37</v>
      </c>
      <c r="L338" s="420"/>
      <c r="M338" s="420"/>
      <c r="R338" s="411"/>
      <c r="T338" s="412"/>
      <c r="AC338" s="413"/>
    </row>
    <row r="339" spans="2:20" ht="13.5" outlineLevel="1">
      <c r="B339" s="5"/>
      <c r="C339" s="261"/>
      <c r="D339" s="261" t="s">
        <v>64</v>
      </c>
      <c r="E339" s="262">
        <v>213141111</v>
      </c>
      <c r="F339" s="625" t="s">
        <v>753</v>
      </c>
      <c r="G339" s="625"/>
      <c r="H339" s="625"/>
      <c r="I339" s="625"/>
      <c r="J339" s="174" t="s">
        <v>65</v>
      </c>
      <c r="K339" s="264">
        <f>K337</f>
        <v>18.37</v>
      </c>
      <c r="L339" s="626"/>
      <c r="M339" s="626"/>
      <c r="N339" s="619">
        <f>ROUND(L339*K339,2)</f>
        <v>0</v>
      </c>
      <c r="O339" s="619"/>
      <c r="P339" s="619"/>
      <c r="Q339" s="619"/>
      <c r="R339" s="6"/>
      <c r="T339" s="142"/>
    </row>
    <row r="340" spans="2:28" ht="11.25" customHeight="1" outlineLevel="1">
      <c r="B340" s="5"/>
      <c r="C340" s="267"/>
      <c r="D340" s="267" t="s">
        <v>67</v>
      </c>
      <c r="E340" s="320" t="s">
        <v>755</v>
      </c>
      <c r="F340" s="651" t="s">
        <v>121</v>
      </c>
      <c r="G340" s="651"/>
      <c r="H340" s="651"/>
      <c r="I340" s="651"/>
      <c r="J340" s="179" t="s">
        <v>65</v>
      </c>
      <c r="K340" s="268">
        <f>SUM(K341:K342)</f>
        <v>22.044</v>
      </c>
      <c r="L340" s="652"/>
      <c r="M340" s="652"/>
      <c r="N340" s="653">
        <f>ROUND(L340*K340,2)</f>
        <v>0</v>
      </c>
      <c r="O340" s="619"/>
      <c r="P340" s="619"/>
      <c r="Q340" s="619"/>
      <c r="R340" s="6"/>
      <c r="T340" s="142"/>
      <c r="V340" s="4"/>
      <c r="W340" s="4"/>
      <c r="X340" s="4"/>
      <c r="Y340" s="4"/>
      <c r="Z340" s="4"/>
      <c r="AA340" s="4"/>
      <c r="AB340" s="4"/>
    </row>
    <row r="341" spans="2:29" s="177" customFormat="1" ht="13.5" outlineLevel="1">
      <c r="B341" s="175"/>
      <c r="E341" s="319" t="s">
        <v>754</v>
      </c>
      <c r="F341" s="627" t="s">
        <v>194</v>
      </c>
      <c r="G341" s="628"/>
      <c r="H341" s="628"/>
      <c r="I341" s="628"/>
      <c r="J341" s="176"/>
      <c r="K341" s="266">
        <f>K339</f>
        <v>18.37</v>
      </c>
      <c r="L341" s="419"/>
      <c r="M341" s="419"/>
      <c r="R341" s="178"/>
      <c r="T341" s="142"/>
      <c r="AC341" s="386"/>
    </row>
    <row r="342" spans="2:29" s="177" customFormat="1" ht="13.5" outlineLevel="1">
      <c r="B342" s="175"/>
      <c r="E342" s="319" t="s">
        <v>171</v>
      </c>
      <c r="F342" s="627"/>
      <c r="G342" s="628"/>
      <c r="H342" s="628"/>
      <c r="I342" s="628"/>
      <c r="J342" s="314">
        <v>0.2</v>
      </c>
      <c r="K342" s="266">
        <f>SUM(K341:K341)*J342</f>
        <v>3.6740000000000004</v>
      </c>
      <c r="L342" s="419"/>
      <c r="M342" s="419"/>
      <c r="R342" s="178"/>
      <c r="T342" s="142"/>
      <c r="AC342" s="386"/>
    </row>
    <row r="343" spans="2:20" ht="11.25" customHeight="1" outlineLevel="1">
      <c r="B343" s="5"/>
      <c r="C343" s="261"/>
      <c r="D343" s="261" t="s">
        <v>64</v>
      </c>
      <c r="E343" s="262">
        <v>635111142</v>
      </c>
      <c r="F343" s="625" t="s">
        <v>756</v>
      </c>
      <c r="G343" s="625"/>
      <c r="H343" s="625"/>
      <c r="I343" s="625"/>
      <c r="J343" s="174" t="s">
        <v>66</v>
      </c>
      <c r="K343" s="264">
        <f>SUM(K344)</f>
        <v>2.2044</v>
      </c>
      <c r="L343" s="626"/>
      <c r="M343" s="626"/>
      <c r="N343" s="619">
        <f>ROUND(L343*K343,2)</f>
        <v>0</v>
      </c>
      <c r="O343" s="619"/>
      <c r="P343" s="619"/>
      <c r="Q343" s="619"/>
      <c r="R343" s="6"/>
      <c r="T343" s="142"/>
    </row>
    <row r="344" spans="2:29" s="177" customFormat="1" ht="13.5" outlineLevel="1">
      <c r="B344" s="175"/>
      <c r="E344" s="319" t="s">
        <v>754</v>
      </c>
      <c r="F344" s="627" t="s">
        <v>2302</v>
      </c>
      <c r="G344" s="628"/>
      <c r="H344" s="628"/>
      <c r="I344" s="628"/>
      <c r="J344" s="176">
        <v>0.12</v>
      </c>
      <c r="K344" s="266">
        <f>K337*J344</f>
        <v>2.2044</v>
      </c>
      <c r="L344" s="419"/>
      <c r="M344" s="419"/>
      <c r="R344" s="178"/>
      <c r="T344" s="142"/>
      <c r="AC344" s="386"/>
    </row>
    <row r="345" spans="2:29" s="143" customFormat="1" ht="12.75">
      <c r="B345" s="139"/>
      <c r="C345" s="140"/>
      <c r="D345" s="140" t="s">
        <v>385</v>
      </c>
      <c r="E345" s="140"/>
      <c r="F345" s="140"/>
      <c r="G345" s="140"/>
      <c r="H345" s="140"/>
      <c r="I345" s="140"/>
      <c r="J345" s="172"/>
      <c r="K345" s="140"/>
      <c r="L345" s="186"/>
      <c r="M345" s="186"/>
      <c r="N345" s="633">
        <f>SUM(N346:Q350)</f>
        <v>0</v>
      </c>
      <c r="O345" s="633"/>
      <c r="P345" s="633"/>
      <c r="Q345" s="633"/>
      <c r="R345" s="141"/>
      <c r="T345" s="142">
        <f>SUM(N345:Q350)/2</f>
        <v>0</v>
      </c>
      <c r="U345" s="177"/>
      <c r="V345" s="177">
        <v>2</v>
      </c>
      <c r="W345" s="177">
        <f>SUM(W153:W172)</f>
        <v>21.869585</v>
      </c>
      <c r="X345" s="177">
        <f>W345*V345</f>
        <v>43.73917</v>
      </c>
      <c r="Y345" s="177"/>
      <c r="Z345" s="177"/>
      <c r="AA345" s="177"/>
      <c r="AB345" s="177"/>
      <c r="AC345" s="384"/>
    </row>
    <row r="346" spans="2:20" ht="13.5" outlineLevel="1">
      <c r="B346" s="5"/>
      <c r="C346" s="261"/>
      <c r="D346" s="261" t="s">
        <v>64</v>
      </c>
      <c r="E346" s="262">
        <v>997013213</v>
      </c>
      <c r="F346" s="625" t="s">
        <v>391</v>
      </c>
      <c r="G346" s="625"/>
      <c r="H346" s="625"/>
      <c r="I346" s="625"/>
      <c r="J346" s="174" t="s">
        <v>68</v>
      </c>
      <c r="K346" s="264">
        <f>SUM(K350:K350)</f>
        <v>43.73917</v>
      </c>
      <c r="L346" s="626"/>
      <c r="M346" s="626"/>
      <c r="N346" s="619">
        <f>ROUND(L346*K346,2)</f>
        <v>0</v>
      </c>
      <c r="O346" s="619"/>
      <c r="P346" s="619"/>
      <c r="Q346" s="619"/>
      <c r="R346" s="6"/>
      <c r="T346" s="142"/>
    </row>
    <row r="347" spans="2:20" ht="13.5" outlineLevel="1">
      <c r="B347" s="5"/>
      <c r="C347" s="261"/>
      <c r="D347" s="261" t="s">
        <v>64</v>
      </c>
      <c r="E347" s="262">
        <v>997013501</v>
      </c>
      <c r="F347" s="625" t="s">
        <v>392</v>
      </c>
      <c r="G347" s="625"/>
      <c r="H347" s="625"/>
      <c r="I347" s="625"/>
      <c r="J347" s="174" t="s">
        <v>68</v>
      </c>
      <c r="K347" s="264">
        <f>K346</f>
        <v>43.73917</v>
      </c>
      <c r="L347" s="626"/>
      <c r="M347" s="626"/>
      <c r="N347" s="619">
        <f>ROUND(L347*K347,2)</f>
        <v>0</v>
      </c>
      <c r="O347" s="619"/>
      <c r="P347" s="619"/>
      <c r="Q347" s="619"/>
      <c r="R347" s="6"/>
      <c r="T347" s="142"/>
    </row>
    <row r="348" spans="2:20" ht="13.5" outlineLevel="1">
      <c r="B348" s="5"/>
      <c r="C348" s="261"/>
      <c r="D348" s="261" t="s">
        <v>64</v>
      </c>
      <c r="E348" s="262">
        <v>997013509</v>
      </c>
      <c r="F348" s="625" t="s">
        <v>393</v>
      </c>
      <c r="G348" s="625"/>
      <c r="H348" s="625"/>
      <c r="I348" s="625"/>
      <c r="J348" s="174" t="s">
        <v>68</v>
      </c>
      <c r="K348" s="264">
        <f>K349</f>
        <v>831.04423</v>
      </c>
      <c r="L348" s="626"/>
      <c r="M348" s="626"/>
      <c r="N348" s="619">
        <f>ROUND(L348*K348,2)</f>
        <v>0</v>
      </c>
      <c r="O348" s="619"/>
      <c r="P348" s="619"/>
      <c r="Q348" s="619"/>
      <c r="R348" s="6"/>
      <c r="T348" s="142"/>
    </row>
    <row r="349" spans="2:29" s="177" customFormat="1" ht="11.25" customHeight="1" outlineLevel="1">
      <c r="B349" s="175"/>
      <c r="E349" s="319" t="s">
        <v>0</v>
      </c>
      <c r="F349" s="627" t="s">
        <v>2283</v>
      </c>
      <c r="G349" s="628"/>
      <c r="H349" s="628"/>
      <c r="I349" s="628"/>
      <c r="J349" s="176">
        <v>19</v>
      </c>
      <c r="K349" s="266">
        <f>K347*J349</f>
        <v>831.04423</v>
      </c>
      <c r="L349" s="419"/>
      <c r="M349" s="419"/>
      <c r="R349" s="178"/>
      <c r="T349" s="142"/>
      <c r="AC349" s="386"/>
    </row>
    <row r="350" spans="2:20" ht="27" customHeight="1" outlineLevel="1">
      <c r="B350" s="5"/>
      <c r="C350" s="261"/>
      <c r="D350" s="261" t="s">
        <v>64</v>
      </c>
      <c r="E350" s="262">
        <v>997013871</v>
      </c>
      <c r="F350" s="625" t="s">
        <v>389</v>
      </c>
      <c r="G350" s="625"/>
      <c r="H350" s="625"/>
      <c r="I350" s="625"/>
      <c r="J350" s="174" t="s">
        <v>68</v>
      </c>
      <c r="K350" s="264">
        <f>X345</f>
        <v>43.73917</v>
      </c>
      <c r="L350" s="626"/>
      <c r="M350" s="626"/>
      <c r="N350" s="619">
        <f>ROUND(L350*K350,2)</f>
        <v>0</v>
      </c>
      <c r="O350" s="619"/>
      <c r="P350" s="619"/>
      <c r="Q350" s="619"/>
      <c r="R350" s="6"/>
      <c r="T350" s="142"/>
    </row>
    <row r="351" spans="2:20" ht="13.5">
      <c r="B351" s="32"/>
      <c r="C351" s="33"/>
      <c r="D351" s="33"/>
      <c r="E351" s="33"/>
      <c r="F351" s="33"/>
      <c r="G351" s="33"/>
      <c r="H351" s="33"/>
      <c r="I351" s="33"/>
      <c r="J351" s="181"/>
      <c r="K351" s="33"/>
      <c r="L351" s="33"/>
      <c r="M351" s="33"/>
      <c r="N351" s="33"/>
      <c r="O351" s="33"/>
      <c r="P351" s="33"/>
      <c r="Q351" s="33"/>
      <c r="R351" s="34"/>
      <c r="T351" s="142"/>
    </row>
    <row r="352" spans="10:20" ht="13.5">
      <c r="J352" s="182"/>
      <c r="T352" s="142"/>
    </row>
    <row r="353" spans="10:20" ht="13.5">
      <c r="J353" s="182"/>
      <c r="T353" s="142"/>
    </row>
    <row r="354" spans="10:20" ht="13.5">
      <c r="J354" s="182"/>
      <c r="T354" s="142"/>
    </row>
  </sheetData>
  <mergeCells count="531">
    <mergeCell ref="F309:I309"/>
    <mergeCell ref="L309:M309"/>
    <mergeCell ref="N309:Q309"/>
    <mergeCell ref="F310:I310"/>
    <mergeCell ref="L306:M306"/>
    <mergeCell ref="N306:Q306"/>
    <mergeCell ref="F308:I308"/>
    <mergeCell ref="L308:M308"/>
    <mergeCell ref="N308:Q308"/>
    <mergeCell ref="L291:M291"/>
    <mergeCell ref="N291:Q291"/>
    <mergeCell ref="L292:M292"/>
    <mergeCell ref="N292:Q292"/>
    <mergeCell ref="E300:I300"/>
    <mergeCell ref="L300:M300"/>
    <mergeCell ref="N300:Q300"/>
    <mergeCell ref="F302:I302"/>
    <mergeCell ref="L302:M302"/>
    <mergeCell ref="L287:M287"/>
    <mergeCell ref="N287:Q287"/>
    <mergeCell ref="N302:Q302"/>
    <mergeCell ref="F294:I294"/>
    <mergeCell ref="F295:I295"/>
    <mergeCell ref="L295:M295"/>
    <mergeCell ref="N295:Q295"/>
    <mergeCell ref="F296:I296"/>
    <mergeCell ref="F297:I297"/>
    <mergeCell ref="L297:M297"/>
    <mergeCell ref="N297:Q297"/>
    <mergeCell ref="F289:I289"/>
    <mergeCell ref="L289:M289"/>
    <mergeCell ref="N289:Q289"/>
    <mergeCell ref="F293:I293"/>
    <mergeCell ref="L293:M293"/>
    <mergeCell ref="N293:Q293"/>
    <mergeCell ref="F290:I290"/>
    <mergeCell ref="F298:I298"/>
    <mergeCell ref="F299:I299"/>
    <mergeCell ref="F292:I292"/>
    <mergeCell ref="L290:M290"/>
    <mergeCell ref="N290:Q290"/>
    <mergeCell ref="F291:I291"/>
    <mergeCell ref="L285:M285"/>
    <mergeCell ref="N285:Q285"/>
    <mergeCell ref="F286:I286"/>
    <mergeCell ref="F282:I282"/>
    <mergeCell ref="L282:M282"/>
    <mergeCell ref="N282:Q282"/>
    <mergeCell ref="F284:I284"/>
    <mergeCell ref="L284:M284"/>
    <mergeCell ref="N284:Q284"/>
    <mergeCell ref="L270:M270"/>
    <mergeCell ref="N270:Q270"/>
    <mergeCell ref="F271:I271"/>
    <mergeCell ref="F272:I272"/>
    <mergeCell ref="F273:I273"/>
    <mergeCell ref="L273:M273"/>
    <mergeCell ref="F281:I281"/>
    <mergeCell ref="F283:I283"/>
    <mergeCell ref="F277:I277"/>
    <mergeCell ref="L277:M277"/>
    <mergeCell ref="N277:Q277"/>
    <mergeCell ref="E278:I278"/>
    <mergeCell ref="L278:M278"/>
    <mergeCell ref="N278:Q278"/>
    <mergeCell ref="L280:M280"/>
    <mergeCell ref="N280:Q280"/>
    <mergeCell ref="F274:I274"/>
    <mergeCell ref="L274:M274"/>
    <mergeCell ref="N274:Q274"/>
    <mergeCell ref="F275:I275"/>
    <mergeCell ref="F276:I276"/>
    <mergeCell ref="L276:M276"/>
    <mergeCell ref="N276:Q276"/>
    <mergeCell ref="N261:Q261"/>
    <mergeCell ref="F255:I255"/>
    <mergeCell ref="L255:M255"/>
    <mergeCell ref="N255:Q255"/>
    <mergeCell ref="F259:I259"/>
    <mergeCell ref="L259:M259"/>
    <mergeCell ref="F262:I262"/>
    <mergeCell ref="L262:M262"/>
    <mergeCell ref="F269:I269"/>
    <mergeCell ref="F263:I263"/>
    <mergeCell ref="F264:I264"/>
    <mergeCell ref="F265:I265"/>
    <mergeCell ref="N262:Q262"/>
    <mergeCell ref="F266:I266"/>
    <mergeCell ref="L266:M266"/>
    <mergeCell ref="L252:M252"/>
    <mergeCell ref="N252:Q252"/>
    <mergeCell ref="F253:I253"/>
    <mergeCell ref="L253:M253"/>
    <mergeCell ref="N253:Q253"/>
    <mergeCell ref="F256:I256"/>
    <mergeCell ref="L256:M256"/>
    <mergeCell ref="N256:Q256"/>
    <mergeCell ref="N273:Q273"/>
    <mergeCell ref="N266:Q266"/>
    <mergeCell ref="F267:I267"/>
    <mergeCell ref="F268:I268"/>
    <mergeCell ref="L268:M268"/>
    <mergeCell ref="N268:Q268"/>
    <mergeCell ref="F254:I254"/>
    <mergeCell ref="E257:I257"/>
    <mergeCell ref="L257:M257"/>
    <mergeCell ref="N257:Q257"/>
    <mergeCell ref="N259:Q259"/>
    <mergeCell ref="F260:I260"/>
    <mergeCell ref="L260:M260"/>
    <mergeCell ref="N260:Q260"/>
    <mergeCell ref="F261:I261"/>
    <mergeCell ref="L261:M261"/>
    <mergeCell ref="L247:M247"/>
    <mergeCell ref="N247:Q247"/>
    <mergeCell ref="F248:I248"/>
    <mergeCell ref="F249:I249"/>
    <mergeCell ref="L249:M249"/>
    <mergeCell ref="N249:Q249"/>
    <mergeCell ref="L243:M243"/>
    <mergeCell ref="N243:Q243"/>
    <mergeCell ref="F245:I245"/>
    <mergeCell ref="L245:M245"/>
    <mergeCell ref="N245:Q245"/>
    <mergeCell ref="F246:I246"/>
    <mergeCell ref="F244:I244"/>
    <mergeCell ref="L224:M224"/>
    <mergeCell ref="N224:Q224"/>
    <mergeCell ref="F223:I223"/>
    <mergeCell ref="L223:M223"/>
    <mergeCell ref="N223:Q223"/>
    <mergeCell ref="E238:I238"/>
    <mergeCell ref="L240:M240"/>
    <mergeCell ref="N240:Q240"/>
    <mergeCell ref="F235:I235"/>
    <mergeCell ref="L238:M238"/>
    <mergeCell ref="N238:Q238"/>
    <mergeCell ref="F233:I233"/>
    <mergeCell ref="L233:M233"/>
    <mergeCell ref="N233:Q233"/>
    <mergeCell ref="F234:I234"/>
    <mergeCell ref="F227:I227"/>
    <mergeCell ref="F228:I228"/>
    <mergeCell ref="L228:M228"/>
    <mergeCell ref="N228:Q228"/>
    <mergeCell ref="F229:I229"/>
    <mergeCell ref="F225:I225"/>
    <mergeCell ref="L225:M225"/>
    <mergeCell ref="N225:Q225"/>
    <mergeCell ref="L226:M226"/>
    <mergeCell ref="L241:M241"/>
    <mergeCell ref="N241:Q241"/>
    <mergeCell ref="L234:M234"/>
    <mergeCell ref="N234:Q234"/>
    <mergeCell ref="F230:I230"/>
    <mergeCell ref="L230:M230"/>
    <mergeCell ref="N230:Q230"/>
    <mergeCell ref="F231:I231"/>
    <mergeCell ref="F232:I232"/>
    <mergeCell ref="F241:I241"/>
    <mergeCell ref="F240:I240"/>
    <mergeCell ref="N226:Q226"/>
    <mergeCell ref="F222:I222"/>
    <mergeCell ref="L222:M222"/>
    <mergeCell ref="N222:Q222"/>
    <mergeCell ref="F219:I219"/>
    <mergeCell ref="L198:M198"/>
    <mergeCell ref="N198:Q198"/>
    <mergeCell ref="E220:I220"/>
    <mergeCell ref="L220:M220"/>
    <mergeCell ref="N220:Q220"/>
    <mergeCell ref="F216:I216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L211:M211"/>
    <mergeCell ref="F214:I214"/>
    <mergeCell ref="F224:I224"/>
    <mergeCell ref="F210:I210"/>
    <mergeCell ref="F147:I147"/>
    <mergeCell ref="F158:I158"/>
    <mergeCell ref="L176:M176"/>
    <mergeCell ref="N176:Q176"/>
    <mergeCell ref="E176:I176"/>
    <mergeCell ref="F150:I150"/>
    <mergeCell ref="L150:M150"/>
    <mergeCell ref="N150:Q150"/>
    <mergeCell ref="F151:I151"/>
    <mergeCell ref="N170:Q170"/>
    <mergeCell ref="F171:I171"/>
    <mergeCell ref="F167:I167"/>
    <mergeCell ref="F165:I165"/>
    <mergeCell ref="L165:M165"/>
    <mergeCell ref="N165:Q165"/>
    <mergeCell ref="F169:I169"/>
    <mergeCell ref="F168:I168"/>
    <mergeCell ref="F164:I164"/>
    <mergeCell ref="F163:I163"/>
    <mergeCell ref="F162:I162"/>
    <mergeCell ref="F161:I161"/>
    <mergeCell ref="F159:I159"/>
    <mergeCell ref="F160:I160"/>
    <mergeCell ref="L148:M148"/>
    <mergeCell ref="N148:Q148"/>
    <mergeCell ref="F197:I197"/>
    <mergeCell ref="L197:M197"/>
    <mergeCell ref="N197:Q197"/>
    <mergeCell ref="F199:I199"/>
    <mergeCell ref="F192:I192"/>
    <mergeCell ref="F193:I193"/>
    <mergeCell ref="F195:I195"/>
    <mergeCell ref="L195:M195"/>
    <mergeCell ref="N195:Q195"/>
    <mergeCell ref="F196:I196"/>
    <mergeCell ref="L192:M192"/>
    <mergeCell ref="F198:I198"/>
    <mergeCell ref="F194:I194"/>
    <mergeCell ref="N192:Q192"/>
    <mergeCell ref="F149:I149"/>
    <mergeCell ref="F172:I172"/>
    <mergeCell ref="L172:M172"/>
    <mergeCell ref="N172:Q172"/>
    <mergeCell ref="F173:I173"/>
    <mergeCell ref="N182:Q182"/>
    <mergeCell ref="N153:Q153"/>
    <mergeCell ref="F154:I154"/>
    <mergeCell ref="F166:I166"/>
    <mergeCell ref="F170:I170"/>
    <mergeCell ref="L170:M170"/>
    <mergeCell ref="F191:I191"/>
    <mergeCell ref="L191:M191"/>
    <mergeCell ref="N191:Q191"/>
    <mergeCell ref="F187:I187"/>
    <mergeCell ref="L187:M187"/>
    <mergeCell ref="N187:Q187"/>
    <mergeCell ref="F188:I188"/>
    <mergeCell ref="F189:I189"/>
    <mergeCell ref="F190:I190"/>
    <mergeCell ref="F177:I177"/>
    <mergeCell ref="F133:I133"/>
    <mergeCell ref="N125:Q125"/>
    <mergeCell ref="F126:I126"/>
    <mergeCell ref="F127:I127"/>
    <mergeCell ref="L127:M127"/>
    <mergeCell ref="N127:Q127"/>
    <mergeCell ref="F128:I128"/>
    <mergeCell ref="F179:I179"/>
    <mergeCell ref="L179:M179"/>
    <mergeCell ref="N179:Q179"/>
    <mergeCell ref="F178:I178"/>
    <mergeCell ref="L178:M178"/>
    <mergeCell ref="N178:Q178"/>
    <mergeCell ref="F138:I138"/>
    <mergeCell ref="N174:Q174"/>
    <mergeCell ref="F175:I175"/>
    <mergeCell ref="L175:M175"/>
    <mergeCell ref="N175:Q175"/>
    <mergeCell ref="F142:I142"/>
    <mergeCell ref="L142:M142"/>
    <mergeCell ref="N142:Q142"/>
    <mergeCell ref="F143:I143"/>
    <mergeCell ref="F135:I135"/>
    <mergeCell ref="N136:Q136"/>
    <mergeCell ref="L131:M131"/>
    <mergeCell ref="N131:Q131"/>
    <mergeCell ref="F118:I118"/>
    <mergeCell ref="F119:I119"/>
    <mergeCell ref="F121:I121"/>
    <mergeCell ref="F122:I122"/>
    <mergeCell ref="L122:M122"/>
    <mergeCell ref="F132:I132"/>
    <mergeCell ref="L132:M132"/>
    <mergeCell ref="N132:Q132"/>
    <mergeCell ref="F120:I120"/>
    <mergeCell ref="N122:Q122"/>
    <mergeCell ref="F124:I124"/>
    <mergeCell ref="F350:I350"/>
    <mergeCell ref="L350:M350"/>
    <mergeCell ref="N350:Q350"/>
    <mergeCell ref="F348:I348"/>
    <mergeCell ref="L348:M348"/>
    <mergeCell ref="N348:Q348"/>
    <mergeCell ref="F134:I134"/>
    <mergeCell ref="L134:M134"/>
    <mergeCell ref="N134:Q134"/>
    <mergeCell ref="F180:I180"/>
    <mergeCell ref="F137:I137"/>
    <mergeCell ref="L137:M137"/>
    <mergeCell ref="N137:Q137"/>
    <mergeCell ref="F183:I183"/>
    <mergeCell ref="F184:I184"/>
    <mergeCell ref="F185:I185"/>
    <mergeCell ref="L185:M185"/>
    <mergeCell ref="N185:Q185"/>
    <mergeCell ref="F186:I186"/>
    <mergeCell ref="F181:I181"/>
    <mergeCell ref="L181:M181"/>
    <mergeCell ref="N181:Q181"/>
    <mergeCell ref="F182:I182"/>
    <mergeCell ref="L182:M182"/>
    <mergeCell ref="L347:M347"/>
    <mergeCell ref="N347:Q347"/>
    <mergeCell ref="F304:I304"/>
    <mergeCell ref="F305:I305"/>
    <mergeCell ref="F307:I307"/>
    <mergeCell ref="L314:M314"/>
    <mergeCell ref="N314:Q314"/>
    <mergeCell ref="F317:I317"/>
    <mergeCell ref="L317:M317"/>
    <mergeCell ref="N317:Q317"/>
    <mergeCell ref="F316:I316"/>
    <mergeCell ref="F319:I319"/>
    <mergeCell ref="N311:Q311"/>
    <mergeCell ref="F312:I312"/>
    <mergeCell ref="F311:I311"/>
    <mergeCell ref="L311:M311"/>
    <mergeCell ref="F318:I318"/>
    <mergeCell ref="F321:I321"/>
    <mergeCell ref="L321:M321"/>
    <mergeCell ref="N321:Q321"/>
    <mergeCell ref="F322:I322"/>
    <mergeCell ref="F323:I323"/>
    <mergeCell ref="F306:I306"/>
    <mergeCell ref="F313:I313"/>
    <mergeCell ref="F211:I211"/>
    <mergeCell ref="F207:I207"/>
    <mergeCell ref="F208:I208"/>
    <mergeCell ref="F209:I209"/>
    <mergeCell ref="L209:M209"/>
    <mergeCell ref="N209:Q209"/>
    <mergeCell ref="N345:Q345"/>
    <mergeCell ref="F346:I346"/>
    <mergeCell ref="L346:M346"/>
    <mergeCell ref="N346:Q346"/>
    <mergeCell ref="F242:I242"/>
    <mergeCell ref="L242:M242"/>
    <mergeCell ref="N242:Q242"/>
    <mergeCell ref="F243:I243"/>
    <mergeCell ref="F236:I236"/>
    <mergeCell ref="L236:M236"/>
    <mergeCell ref="N236:Q236"/>
    <mergeCell ref="F237:I237"/>
    <mergeCell ref="L237:M237"/>
    <mergeCell ref="N237:Q237"/>
    <mergeCell ref="N211:Q211"/>
    <mergeCell ref="F212:I212"/>
    <mergeCell ref="F213:I213"/>
    <mergeCell ref="L319:M319"/>
    <mergeCell ref="E200:I200"/>
    <mergeCell ref="L200:M200"/>
    <mergeCell ref="N200:Q200"/>
    <mergeCell ref="L202:M202"/>
    <mergeCell ref="F206:I206"/>
    <mergeCell ref="L206:M206"/>
    <mergeCell ref="N206:Q206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N202:Q202"/>
    <mergeCell ref="F201:I201"/>
    <mergeCell ref="L160:M160"/>
    <mergeCell ref="N160:Q160"/>
    <mergeCell ref="F140:I140"/>
    <mergeCell ref="L140:M140"/>
    <mergeCell ref="N140:Q140"/>
    <mergeCell ref="F141:I141"/>
    <mergeCell ref="N152:Q152"/>
    <mergeCell ref="L158:M158"/>
    <mergeCell ref="N158:Q158"/>
    <mergeCell ref="N145:Q145"/>
    <mergeCell ref="F146:I146"/>
    <mergeCell ref="F155:I155"/>
    <mergeCell ref="L155:M155"/>
    <mergeCell ref="N155:Q155"/>
    <mergeCell ref="F156:I156"/>
    <mergeCell ref="F157:I157"/>
    <mergeCell ref="F153:I153"/>
    <mergeCell ref="L153:M153"/>
    <mergeCell ref="F144:I144"/>
    <mergeCell ref="L144:M144"/>
    <mergeCell ref="N144:Q144"/>
    <mergeCell ref="F145:I145"/>
    <mergeCell ref="L145:M145"/>
    <mergeCell ref="F148:I148"/>
    <mergeCell ref="F113:I113"/>
    <mergeCell ref="L113:M113"/>
    <mergeCell ref="N113:Q113"/>
    <mergeCell ref="N114:Q114"/>
    <mergeCell ref="N115:Q115"/>
    <mergeCell ref="N139:Q139"/>
    <mergeCell ref="F125:I125"/>
    <mergeCell ref="L125:M125"/>
    <mergeCell ref="F104:P104"/>
    <mergeCell ref="M106:P106"/>
    <mergeCell ref="M108:Q108"/>
    <mergeCell ref="M109:Q109"/>
    <mergeCell ref="F110:P110"/>
    <mergeCell ref="F111:P111"/>
    <mergeCell ref="N116:Q116"/>
    <mergeCell ref="F117:I117"/>
    <mergeCell ref="L117:M117"/>
    <mergeCell ref="N117:Q117"/>
    <mergeCell ref="F123:I123"/>
    <mergeCell ref="F129:I129"/>
    <mergeCell ref="L129:M129"/>
    <mergeCell ref="N129:Q129"/>
    <mergeCell ref="F130:I130"/>
    <mergeCell ref="F131:I131"/>
    <mergeCell ref="N90:Q90"/>
    <mergeCell ref="N91:Q91"/>
    <mergeCell ref="N93:Q93"/>
    <mergeCell ref="L95:Q95"/>
    <mergeCell ref="C101:Q101"/>
    <mergeCell ref="F103:P103"/>
    <mergeCell ref="M82:Q82"/>
    <mergeCell ref="C84:G84"/>
    <mergeCell ref="N84:Q84"/>
    <mergeCell ref="N86:Q86"/>
    <mergeCell ref="N87:Q87"/>
    <mergeCell ref="N88:Q88"/>
    <mergeCell ref="L36:P36"/>
    <mergeCell ref="C74:Q74"/>
    <mergeCell ref="F76:P76"/>
    <mergeCell ref="F77:P77"/>
    <mergeCell ref="M79:P79"/>
    <mergeCell ref="M81:Q81"/>
    <mergeCell ref="M29:P29"/>
    <mergeCell ref="M31:P31"/>
    <mergeCell ref="H33:J33"/>
    <mergeCell ref="M33:P33"/>
    <mergeCell ref="H34:J34"/>
    <mergeCell ref="M34:P34"/>
    <mergeCell ref="C2:Q2"/>
    <mergeCell ref="F4:P4"/>
    <mergeCell ref="F5:P5"/>
    <mergeCell ref="O7:P7"/>
    <mergeCell ref="O9:P9"/>
    <mergeCell ref="O10:P10"/>
    <mergeCell ref="F303:I303"/>
    <mergeCell ref="L303:M303"/>
    <mergeCell ref="N303:Q303"/>
    <mergeCell ref="N89:Q89"/>
    <mergeCell ref="N92:Q92"/>
    <mergeCell ref="O19:P19"/>
    <mergeCell ref="O21:P21"/>
    <mergeCell ref="E22:P22"/>
    <mergeCell ref="D25:E25"/>
    <mergeCell ref="G25:P25"/>
    <mergeCell ref="D26:E26"/>
    <mergeCell ref="G26:P26"/>
    <mergeCell ref="F12:I12"/>
    <mergeCell ref="O12:P12"/>
    <mergeCell ref="O13:P13"/>
    <mergeCell ref="O15:P15"/>
    <mergeCell ref="O16:P16"/>
    <mergeCell ref="O18:P18"/>
    <mergeCell ref="N319:Q319"/>
    <mergeCell ref="F320:I320"/>
    <mergeCell ref="E337:I337"/>
    <mergeCell ref="L337:M337"/>
    <mergeCell ref="N337:Q337"/>
    <mergeCell ref="F339:I339"/>
    <mergeCell ref="L339:M339"/>
    <mergeCell ref="N339:Q339"/>
    <mergeCell ref="F335:I335"/>
    <mergeCell ref="L335:M335"/>
    <mergeCell ref="N335:Q335"/>
    <mergeCell ref="F332:I332"/>
    <mergeCell ref="L332:M332"/>
    <mergeCell ref="N332:Q332"/>
    <mergeCell ref="F333:I333"/>
    <mergeCell ref="F334:I334"/>
    <mergeCell ref="L334:M334"/>
    <mergeCell ref="N334:Q334"/>
    <mergeCell ref="L336:M336"/>
    <mergeCell ref="N336:Q336"/>
    <mergeCell ref="F331:I331"/>
    <mergeCell ref="F340:I340"/>
    <mergeCell ref="L340:M340"/>
    <mergeCell ref="N340:Q340"/>
    <mergeCell ref="F341:I341"/>
    <mergeCell ref="F342:I342"/>
    <mergeCell ref="F343:I343"/>
    <mergeCell ref="L343:M343"/>
    <mergeCell ref="N343:Q343"/>
    <mergeCell ref="L324:M324"/>
    <mergeCell ref="N324:Q324"/>
    <mergeCell ref="F325:I325"/>
    <mergeCell ref="L325:M325"/>
    <mergeCell ref="N325:Q325"/>
    <mergeCell ref="F326:I326"/>
    <mergeCell ref="F328:I328"/>
    <mergeCell ref="F329:I329"/>
    <mergeCell ref="L328:M328"/>
    <mergeCell ref="N328:Q328"/>
    <mergeCell ref="F327:I327"/>
    <mergeCell ref="F221:I221"/>
    <mergeCell ref="F239:I239"/>
    <mergeCell ref="F258:I258"/>
    <mergeCell ref="F279:I279"/>
    <mergeCell ref="F288:I288"/>
    <mergeCell ref="F301:I301"/>
    <mergeCell ref="F338:I338"/>
    <mergeCell ref="F349:I349"/>
    <mergeCell ref="E324:I324"/>
    <mergeCell ref="F330:I330"/>
    <mergeCell ref="F336:I336"/>
    <mergeCell ref="F344:I344"/>
    <mergeCell ref="F347:I347"/>
    <mergeCell ref="F226:I226"/>
    <mergeCell ref="F247:I247"/>
    <mergeCell ref="F250:I250"/>
    <mergeCell ref="F251:I251"/>
    <mergeCell ref="F252:I252"/>
    <mergeCell ref="F280:I280"/>
    <mergeCell ref="F270:I270"/>
    <mergeCell ref="F285:I285"/>
    <mergeCell ref="E287:I287"/>
    <mergeCell ref="F314:I314"/>
    <mergeCell ref="F315:I31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headerFooter>
    <oddHeader>&amp;LBD Hübnerové&amp;ROdhad stavebních nákladů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822"/>
  <sheetViews>
    <sheetView showGridLines="0" view="pageBreakPreview" zoomScaleSheetLayoutView="100" workbookViewId="0" topLeftCell="A1">
      <pane ySplit="1" topLeftCell="A2" activePane="bottomLeft" state="frozen"/>
      <selection pane="topLeft" activeCell="F118" sqref="F118:I118"/>
      <selection pane="bottomLeft" activeCell="F5" sqref="F5:P5"/>
    </sheetView>
  </sheetViews>
  <sheetFormatPr defaultColWidth="9.33203125" defaultRowHeight="13.5" outlineLevelRow="1" outlineLevelCol="1"/>
  <cols>
    <col min="1" max="1" width="8.33203125" style="4" customWidth="1"/>
    <col min="2" max="2" width="1.66796875" style="4" customWidth="1"/>
    <col min="3" max="3" width="4.16015625" style="4" customWidth="1"/>
    <col min="4" max="4" width="4.33203125" style="4" customWidth="1"/>
    <col min="5" max="5" width="22.33203125" style="4" customWidth="1"/>
    <col min="6" max="6" width="13.83203125" style="4" customWidth="1"/>
    <col min="7" max="7" width="11.16015625" style="4" customWidth="1"/>
    <col min="8" max="8" width="12.5" style="4" customWidth="1"/>
    <col min="9" max="9" width="34.33203125" style="4" customWidth="1"/>
    <col min="10" max="10" width="9.66015625" style="183" customWidth="1"/>
    <col min="11" max="11" width="15.5" style="4" customWidth="1"/>
    <col min="12" max="12" width="12" style="4" customWidth="1"/>
    <col min="13" max="13" width="7.5" style="4" customWidth="1"/>
    <col min="14" max="14" width="6" style="4" customWidth="1"/>
    <col min="15" max="15" width="2" style="4" customWidth="1"/>
    <col min="16" max="16" width="12.5" style="4" customWidth="1"/>
    <col min="17" max="17" width="4.16015625" style="4" customWidth="1"/>
    <col min="18" max="18" width="1.66796875" style="4" customWidth="1"/>
    <col min="19" max="19" width="2" style="4" customWidth="1"/>
    <col min="20" max="20" width="25.33203125" style="129" customWidth="1" outlineLevel="1"/>
    <col min="21" max="21" width="9.33203125" style="177" customWidth="1" outlineLevel="1"/>
    <col min="22" max="22" width="47.33203125" style="248" customWidth="1"/>
    <col min="23" max="16384" width="9.33203125" style="4" customWidth="1"/>
  </cols>
  <sheetData>
    <row r="1" spans="2:18" ht="13.5">
      <c r="B1" s="1"/>
      <c r="C1" s="2"/>
      <c r="D1" s="2"/>
      <c r="E1" s="2"/>
      <c r="F1" s="2"/>
      <c r="G1" s="2"/>
      <c r="H1" s="2"/>
      <c r="I1" s="2"/>
      <c r="J1" s="144"/>
      <c r="K1" s="2"/>
      <c r="L1" s="2"/>
      <c r="M1" s="2"/>
      <c r="N1" s="2"/>
      <c r="O1" s="2"/>
      <c r="P1" s="2"/>
      <c r="Q1" s="2"/>
      <c r="R1" s="3"/>
    </row>
    <row r="2" spans="2:18" ht="20.25">
      <c r="B2" s="5"/>
      <c r="C2" s="596" t="s">
        <v>38</v>
      </c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6"/>
    </row>
    <row r="3" spans="2:18" ht="13.5">
      <c r="B3" s="5"/>
      <c r="J3" s="145"/>
      <c r="R3" s="6"/>
    </row>
    <row r="4" spans="2:18" ht="12">
      <c r="B4" s="5"/>
      <c r="D4" s="7" t="s">
        <v>3</v>
      </c>
      <c r="F4" s="620" t="str">
        <f>Rekapitulace!K4</f>
        <v>Stavební úpravy, vestavba a přístavba stávajícího objektu</v>
      </c>
      <c r="G4" s="621"/>
      <c r="H4" s="621"/>
      <c r="I4" s="621"/>
      <c r="J4" s="621"/>
      <c r="K4" s="621"/>
      <c r="L4" s="621"/>
      <c r="M4" s="621"/>
      <c r="N4" s="621"/>
      <c r="O4" s="621"/>
      <c r="P4" s="621"/>
      <c r="R4" s="6"/>
    </row>
    <row r="5" spans="2:18" ht="15.75">
      <c r="B5" s="5"/>
      <c r="D5" s="8" t="s">
        <v>39</v>
      </c>
      <c r="F5" s="590" t="s">
        <v>394</v>
      </c>
      <c r="G5" s="603"/>
      <c r="H5" s="603"/>
      <c r="I5" s="603"/>
      <c r="J5" s="603"/>
      <c r="K5" s="603"/>
      <c r="L5" s="603"/>
      <c r="M5" s="603"/>
      <c r="N5" s="603"/>
      <c r="O5" s="603"/>
      <c r="P5" s="603"/>
      <c r="R5" s="6"/>
    </row>
    <row r="6" spans="2:18" ht="12">
      <c r="B6" s="5"/>
      <c r="D6" s="7" t="s">
        <v>4</v>
      </c>
      <c r="F6" s="9" t="s">
        <v>0</v>
      </c>
      <c r="J6" s="145"/>
      <c r="M6" s="7" t="s">
        <v>5</v>
      </c>
      <c r="O6" s="9" t="s">
        <v>0</v>
      </c>
      <c r="R6" s="6"/>
    </row>
    <row r="7" spans="2:18" ht="12">
      <c r="B7" s="5"/>
      <c r="D7" s="7" t="s">
        <v>6</v>
      </c>
      <c r="F7" s="9" t="str">
        <f>Rekapitulace!I81</f>
        <v>Mírové náměstí 23/12, Bílina - p.č. 124, 125/1, 125/2, 125/3, k.ú. Bílina (604208)</v>
      </c>
      <c r="J7" s="145"/>
      <c r="M7" s="7" t="s">
        <v>7</v>
      </c>
      <c r="O7" s="616">
        <f>Rekapitulace!AN6</f>
        <v>0</v>
      </c>
      <c r="P7" s="616"/>
      <c r="R7" s="6"/>
    </row>
    <row r="8" spans="2:18" ht="13.5">
      <c r="B8" s="5"/>
      <c r="J8" s="145"/>
      <c r="R8" s="6"/>
    </row>
    <row r="9" spans="2:18" ht="12">
      <c r="B9" s="5"/>
      <c r="D9" s="7" t="s">
        <v>8</v>
      </c>
      <c r="F9" s="4" t="str">
        <f>Rekapitulace!K8</f>
        <v>město Bílina</v>
      </c>
      <c r="J9" s="145"/>
      <c r="M9" s="7" t="s">
        <v>9</v>
      </c>
      <c r="O9" s="591" t="s">
        <v>0</v>
      </c>
      <c r="P9" s="591"/>
      <c r="R9" s="6"/>
    </row>
    <row r="10" spans="2:18" ht="12">
      <c r="B10" s="5"/>
      <c r="E10" s="9"/>
      <c r="J10" s="145"/>
      <c r="M10" s="7" t="s">
        <v>10</v>
      </c>
      <c r="O10" s="591" t="s">
        <v>0</v>
      </c>
      <c r="P10" s="591"/>
      <c r="R10" s="6"/>
    </row>
    <row r="11" spans="2:18" ht="13.5">
      <c r="B11" s="5"/>
      <c r="J11" s="145"/>
      <c r="R11" s="6"/>
    </row>
    <row r="12" spans="2:18" ht="12">
      <c r="B12" s="5"/>
      <c r="D12" s="7" t="s">
        <v>11</v>
      </c>
      <c r="F12" s="635">
        <f>Rekapitulace!K11</f>
        <v>0</v>
      </c>
      <c r="G12" s="635"/>
      <c r="H12" s="635"/>
      <c r="I12" s="635"/>
      <c r="J12" s="145"/>
      <c r="M12" s="7" t="s">
        <v>9</v>
      </c>
      <c r="O12" s="591" t="str">
        <f>IF(Rekapitulace!AN11="","",Rekapitulace!AN11)</f>
        <v/>
      </c>
      <c r="P12" s="591"/>
      <c r="R12" s="6"/>
    </row>
    <row r="13" spans="2:18" ht="12">
      <c r="B13" s="5"/>
      <c r="E13" s="9" t="str">
        <f>IF(Rekapitulace!E12="","",Rekapitulace!E12)</f>
        <v xml:space="preserve"> </v>
      </c>
      <c r="J13" s="145"/>
      <c r="M13" s="7" t="s">
        <v>10</v>
      </c>
      <c r="O13" s="591" t="str">
        <f>IF(Rekapitulace!AN12="","",Rekapitulace!AN12)</f>
        <v/>
      </c>
      <c r="P13" s="591"/>
      <c r="R13" s="6"/>
    </row>
    <row r="14" spans="2:18" ht="13.5">
      <c r="B14" s="5"/>
      <c r="J14" s="145"/>
      <c r="R14" s="6"/>
    </row>
    <row r="15" spans="2:18" ht="12">
      <c r="B15" s="5"/>
      <c r="D15" s="7" t="s">
        <v>13</v>
      </c>
      <c r="J15" s="145"/>
      <c r="M15" s="7" t="s">
        <v>9</v>
      </c>
      <c r="O15" s="591" t="s">
        <v>0</v>
      </c>
      <c r="P15" s="591"/>
      <c r="R15" s="6"/>
    </row>
    <row r="16" spans="2:18" ht="12">
      <c r="B16" s="5"/>
      <c r="E16" s="9" t="str">
        <f>Rekapitulace!E15</f>
        <v>Ing. arch. Bořek Peška</v>
      </c>
      <c r="J16" s="145"/>
      <c r="M16" s="7" t="s">
        <v>10</v>
      </c>
      <c r="O16" s="591" t="s">
        <v>0</v>
      </c>
      <c r="P16" s="591"/>
      <c r="R16" s="6"/>
    </row>
    <row r="17" spans="2:18" ht="13.5">
      <c r="B17" s="5"/>
      <c r="J17" s="145"/>
      <c r="R17" s="6"/>
    </row>
    <row r="18" spans="2:18" ht="12">
      <c r="B18" s="5"/>
      <c r="D18" s="7" t="s">
        <v>14</v>
      </c>
      <c r="J18" s="145"/>
      <c r="M18" s="7" t="s">
        <v>9</v>
      </c>
      <c r="O18" s="591" t="s">
        <v>0</v>
      </c>
      <c r="P18" s="591"/>
      <c r="R18" s="6"/>
    </row>
    <row r="19" spans="2:18" ht="12">
      <c r="B19" s="5"/>
      <c r="E19" s="9" t="str">
        <f>Rekapitulace!E18</f>
        <v>Jakub Kulhavý</v>
      </c>
      <c r="J19" s="145"/>
      <c r="M19" s="7" t="s">
        <v>10</v>
      </c>
      <c r="O19" s="591" t="s">
        <v>0</v>
      </c>
      <c r="P19" s="591"/>
      <c r="R19" s="6"/>
    </row>
    <row r="20" spans="2:18" ht="13.5">
      <c r="B20" s="5"/>
      <c r="J20" s="145"/>
      <c r="R20" s="6"/>
    </row>
    <row r="21" spans="2:18" ht="12">
      <c r="B21" s="5"/>
      <c r="D21" s="7" t="s">
        <v>193</v>
      </c>
      <c r="J21" s="145"/>
      <c r="M21" s="7"/>
      <c r="O21" s="591" t="s">
        <v>0</v>
      </c>
      <c r="P21" s="591"/>
      <c r="R21" s="6"/>
    </row>
    <row r="22" spans="2:18" ht="12">
      <c r="B22" s="5"/>
      <c r="E22" s="591" t="str">
        <f>Rekapitulace!E21</f>
        <v>projektové dokumentace ve stupni DPS z 04/2023</v>
      </c>
      <c r="F22" s="591"/>
      <c r="G22" s="591"/>
      <c r="H22" s="591"/>
      <c r="I22" s="591"/>
      <c r="J22" s="591"/>
      <c r="K22" s="591"/>
      <c r="L22" s="591"/>
      <c r="M22" s="591"/>
      <c r="N22" s="591"/>
      <c r="O22" s="591"/>
      <c r="P22" s="591"/>
      <c r="R22" s="6"/>
    </row>
    <row r="23" spans="2:18" ht="13.5">
      <c r="B23" s="5"/>
      <c r="J23" s="145"/>
      <c r="R23" s="6"/>
    </row>
    <row r="24" spans="2:18" ht="12">
      <c r="B24" s="5"/>
      <c r="D24" s="7" t="s">
        <v>96</v>
      </c>
      <c r="J24" s="145"/>
      <c r="R24" s="6"/>
    </row>
    <row r="25" spans="2:22" s="238" customFormat="1" ht="12">
      <c r="B25" s="237"/>
      <c r="D25" s="636"/>
      <c r="E25" s="636"/>
      <c r="F25" s="392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R25" s="239"/>
      <c r="T25" s="393"/>
      <c r="V25" s="394"/>
    </row>
    <row r="26" spans="2:21" ht="12">
      <c r="B26" s="5"/>
      <c r="D26" s="635"/>
      <c r="E26" s="635"/>
      <c r="F26" s="19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R26" s="6"/>
      <c r="T26" s="199"/>
      <c r="U26" s="4"/>
    </row>
    <row r="27" spans="2:18" ht="13.5">
      <c r="B27" s="5"/>
      <c r="J27" s="145"/>
      <c r="R27" s="6"/>
    </row>
    <row r="28" spans="2:18" ht="13.5">
      <c r="B28" s="5"/>
      <c r="D28" s="24"/>
      <c r="E28" s="24"/>
      <c r="F28" s="24"/>
      <c r="G28" s="24"/>
      <c r="H28" s="24"/>
      <c r="I28" s="24"/>
      <c r="J28" s="146"/>
      <c r="K28" s="24"/>
      <c r="L28" s="24"/>
      <c r="M28" s="24"/>
      <c r="N28" s="24"/>
      <c r="O28" s="24"/>
      <c r="P28" s="24"/>
      <c r="R28" s="6"/>
    </row>
    <row r="29" spans="2:18" ht="12.75">
      <c r="B29" s="5"/>
      <c r="D29" s="147" t="s">
        <v>40</v>
      </c>
      <c r="J29" s="145"/>
      <c r="M29" s="611">
        <f>N86</f>
        <v>0</v>
      </c>
      <c r="N29" s="611"/>
      <c r="O29" s="611"/>
      <c r="P29" s="611"/>
      <c r="R29" s="6"/>
    </row>
    <row r="30" spans="2:18" ht="13.5">
      <c r="B30" s="5"/>
      <c r="J30" s="145"/>
      <c r="R30" s="6"/>
    </row>
    <row r="31" spans="2:18" ht="12.75">
      <c r="B31" s="5"/>
      <c r="D31" s="148" t="s">
        <v>16</v>
      </c>
      <c r="J31" s="145"/>
      <c r="M31" s="634">
        <f>ROUND(M29,2)</f>
        <v>0</v>
      </c>
      <c r="N31" s="603"/>
      <c r="O31" s="603"/>
      <c r="P31" s="603"/>
      <c r="R31" s="6"/>
    </row>
    <row r="32" spans="2:18" ht="13.5">
      <c r="B32" s="5"/>
      <c r="D32" s="24"/>
      <c r="E32" s="24"/>
      <c r="F32" s="24"/>
      <c r="G32" s="24"/>
      <c r="H32" s="24"/>
      <c r="I32" s="24"/>
      <c r="J32" s="146"/>
      <c r="K32" s="24"/>
      <c r="L32" s="24"/>
      <c r="M32" s="24"/>
      <c r="N32" s="24"/>
      <c r="O32" s="24"/>
      <c r="P32" s="24"/>
      <c r="R32" s="6"/>
    </row>
    <row r="33" spans="2:18" ht="13.5">
      <c r="B33" s="5"/>
      <c r="D33" s="16" t="s">
        <v>17</v>
      </c>
      <c r="E33" s="16" t="s">
        <v>18</v>
      </c>
      <c r="F33" s="149">
        <v>0.21</v>
      </c>
      <c r="G33" s="150" t="s">
        <v>19</v>
      </c>
      <c r="H33" s="587">
        <f>ROUND(M31,2)</f>
        <v>0</v>
      </c>
      <c r="I33" s="603"/>
      <c r="J33" s="603"/>
      <c r="M33" s="640">
        <f>ROUND(H33*F33,2)</f>
        <v>0</v>
      </c>
      <c r="N33" s="603"/>
      <c r="O33" s="603"/>
      <c r="P33" s="603"/>
      <c r="R33" s="6"/>
    </row>
    <row r="34" spans="2:18" ht="13.5">
      <c r="B34" s="5"/>
      <c r="E34" s="16" t="s">
        <v>20</v>
      </c>
      <c r="F34" s="149">
        <v>0.15</v>
      </c>
      <c r="G34" s="150" t="s">
        <v>19</v>
      </c>
      <c r="H34" s="587">
        <v>0</v>
      </c>
      <c r="I34" s="603"/>
      <c r="J34" s="603"/>
      <c r="M34" s="640">
        <f>ROUND(H34*F34,2)</f>
        <v>0</v>
      </c>
      <c r="N34" s="603"/>
      <c r="O34" s="603"/>
      <c r="P34" s="603"/>
      <c r="R34" s="6"/>
    </row>
    <row r="35" spans="2:18" ht="13.5">
      <c r="B35" s="5"/>
      <c r="J35" s="145"/>
      <c r="R35" s="6"/>
    </row>
    <row r="36" spans="2:18" ht="15.75">
      <c r="B36" s="5"/>
      <c r="C36" s="50"/>
      <c r="D36" s="151" t="s">
        <v>24</v>
      </c>
      <c r="E36" s="41"/>
      <c r="F36" s="41"/>
      <c r="G36" s="152" t="s">
        <v>25</v>
      </c>
      <c r="H36" s="153" t="s">
        <v>26</v>
      </c>
      <c r="I36" s="41"/>
      <c r="J36" s="154"/>
      <c r="K36" s="41"/>
      <c r="L36" s="638">
        <f>SUM(M31:M34)</f>
        <v>0</v>
      </c>
      <c r="M36" s="638"/>
      <c r="N36" s="638"/>
      <c r="O36" s="638"/>
      <c r="P36" s="639"/>
      <c r="Q36" s="50"/>
      <c r="R36" s="6"/>
    </row>
    <row r="37" spans="2:18" ht="13.5">
      <c r="B37" s="5"/>
      <c r="J37" s="145"/>
      <c r="R37" s="6"/>
    </row>
    <row r="38" spans="2:18" ht="13.5">
      <c r="B38" s="5"/>
      <c r="J38" s="145"/>
      <c r="R38" s="6"/>
    </row>
    <row r="39" spans="2:18" ht="13.5">
      <c r="B39" s="5"/>
      <c r="J39" s="145"/>
      <c r="R39" s="6"/>
    </row>
    <row r="40" spans="2:18" ht="13.5">
      <c r="B40" s="5"/>
      <c r="J40" s="145"/>
      <c r="R40" s="6"/>
    </row>
    <row r="41" spans="2:18" ht="13.5">
      <c r="B41" s="5"/>
      <c r="J41" s="145"/>
      <c r="R41" s="6"/>
    </row>
    <row r="42" spans="2:18" ht="13.5">
      <c r="B42" s="5"/>
      <c r="J42" s="145"/>
      <c r="R42" s="6"/>
    </row>
    <row r="43" spans="2:18" ht="13.5">
      <c r="B43" s="5"/>
      <c r="J43" s="145"/>
      <c r="R43" s="6"/>
    </row>
    <row r="44" spans="2:18" ht="13.5">
      <c r="B44" s="5"/>
      <c r="J44" s="145"/>
      <c r="R44" s="6"/>
    </row>
    <row r="45" spans="2:18" ht="13.5">
      <c r="B45" s="5"/>
      <c r="J45" s="145"/>
      <c r="R45" s="6"/>
    </row>
    <row r="46" spans="2:18" ht="13.5">
      <c r="B46" s="5"/>
      <c r="J46" s="145"/>
      <c r="R46" s="6"/>
    </row>
    <row r="47" spans="2:18" ht="13.5">
      <c r="B47" s="5"/>
      <c r="J47" s="145"/>
      <c r="R47" s="6"/>
    </row>
    <row r="48" spans="2:18" ht="12.75">
      <c r="B48" s="5"/>
      <c r="D48" s="23" t="s">
        <v>27</v>
      </c>
      <c r="E48" s="24"/>
      <c r="F48" s="24"/>
      <c r="G48" s="24"/>
      <c r="H48" s="25"/>
      <c r="J48" s="155" t="s">
        <v>28</v>
      </c>
      <c r="K48" s="24"/>
      <c r="L48" s="24"/>
      <c r="M48" s="24"/>
      <c r="N48" s="24"/>
      <c r="O48" s="24"/>
      <c r="P48" s="25"/>
      <c r="R48" s="6"/>
    </row>
    <row r="49" spans="2:18" ht="13.5">
      <c r="B49" s="5"/>
      <c r="D49" s="26"/>
      <c r="H49" s="27"/>
      <c r="J49" s="156"/>
      <c r="P49" s="27"/>
      <c r="R49" s="6"/>
    </row>
    <row r="50" spans="2:18" ht="13.5">
      <c r="B50" s="5"/>
      <c r="D50" s="26"/>
      <c r="H50" s="27"/>
      <c r="J50" s="156"/>
      <c r="P50" s="27"/>
      <c r="R50" s="6"/>
    </row>
    <row r="51" spans="2:18" ht="13.5">
      <c r="B51" s="5"/>
      <c r="D51" s="26"/>
      <c r="H51" s="27"/>
      <c r="J51" s="156"/>
      <c r="P51" s="27"/>
      <c r="R51" s="6"/>
    </row>
    <row r="52" spans="2:18" ht="13.5">
      <c r="B52" s="5"/>
      <c r="D52" s="26"/>
      <c r="H52" s="27"/>
      <c r="J52" s="156"/>
      <c r="P52" s="27"/>
      <c r="R52" s="6"/>
    </row>
    <row r="53" spans="2:18" ht="13.5">
      <c r="B53" s="5"/>
      <c r="D53" s="26"/>
      <c r="H53" s="27"/>
      <c r="J53" s="156"/>
      <c r="P53" s="27"/>
      <c r="R53" s="6"/>
    </row>
    <row r="54" spans="2:18" ht="13.5">
      <c r="B54" s="5"/>
      <c r="D54" s="26"/>
      <c r="H54" s="27"/>
      <c r="J54" s="156"/>
      <c r="P54" s="27"/>
      <c r="R54" s="6"/>
    </row>
    <row r="55" spans="2:18" ht="13.5">
      <c r="B55" s="5"/>
      <c r="D55" s="26"/>
      <c r="H55" s="27"/>
      <c r="J55" s="156"/>
      <c r="P55" s="27"/>
      <c r="R55" s="6"/>
    </row>
    <row r="56" spans="2:18" ht="13.5">
      <c r="B56" s="5"/>
      <c r="D56" s="26"/>
      <c r="H56" s="27"/>
      <c r="J56" s="156"/>
      <c r="P56" s="27"/>
      <c r="R56" s="6"/>
    </row>
    <row r="57" spans="2:18" ht="12.75">
      <c r="B57" s="5"/>
      <c r="D57" s="28" t="s">
        <v>29</v>
      </c>
      <c r="E57" s="29"/>
      <c r="F57" s="29"/>
      <c r="G57" s="30" t="s">
        <v>30</v>
      </c>
      <c r="H57" s="31"/>
      <c r="J57" s="157" t="s">
        <v>29</v>
      </c>
      <c r="K57" s="29"/>
      <c r="L57" s="29"/>
      <c r="M57" s="29"/>
      <c r="N57" s="30" t="s">
        <v>30</v>
      </c>
      <c r="O57" s="29"/>
      <c r="P57" s="31"/>
      <c r="R57" s="6"/>
    </row>
    <row r="58" spans="2:18" ht="13.5">
      <c r="B58" s="5"/>
      <c r="J58" s="145"/>
      <c r="R58" s="6"/>
    </row>
    <row r="59" spans="2:18" ht="12.75">
      <c r="B59" s="5"/>
      <c r="D59" s="23" t="s">
        <v>31</v>
      </c>
      <c r="E59" s="24"/>
      <c r="F59" s="24"/>
      <c r="G59" s="24"/>
      <c r="H59" s="25"/>
      <c r="J59" s="155" t="s">
        <v>32</v>
      </c>
      <c r="K59" s="24"/>
      <c r="L59" s="24"/>
      <c r="M59" s="24"/>
      <c r="N59" s="24"/>
      <c r="O59" s="24"/>
      <c r="P59" s="25"/>
      <c r="R59" s="6"/>
    </row>
    <row r="60" spans="2:18" ht="13.5">
      <c r="B60" s="5"/>
      <c r="D60" s="26"/>
      <c r="H60" s="27"/>
      <c r="J60" s="156"/>
      <c r="P60" s="27"/>
      <c r="R60" s="6"/>
    </row>
    <row r="61" spans="2:18" ht="13.5">
      <c r="B61" s="5"/>
      <c r="D61" s="26"/>
      <c r="H61" s="27"/>
      <c r="J61" s="156"/>
      <c r="P61" s="27"/>
      <c r="R61" s="6"/>
    </row>
    <row r="62" spans="2:18" ht="13.5">
      <c r="B62" s="5"/>
      <c r="D62" s="26"/>
      <c r="H62" s="27"/>
      <c r="J62" s="156"/>
      <c r="P62" s="27"/>
      <c r="R62" s="6"/>
    </row>
    <row r="63" spans="2:18" ht="13.5">
      <c r="B63" s="5"/>
      <c r="D63" s="26"/>
      <c r="H63" s="27"/>
      <c r="J63" s="156"/>
      <c r="P63" s="27"/>
      <c r="R63" s="6"/>
    </row>
    <row r="64" spans="2:18" ht="13.5">
      <c r="B64" s="5"/>
      <c r="D64" s="26"/>
      <c r="H64" s="27"/>
      <c r="J64" s="156"/>
      <c r="P64" s="27"/>
      <c r="R64" s="6"/>
    </row>
    <row r="65" spans="2:18" ht="13.5">
      <c r="B65" s="5"/>
      <c r="D65" s="26"/>
      <c r="H65" s="27"/>
      <c r="J65" s="156"/>
      <c r="P65" s="27"/>
      <c r="R65" s="6"/>
    </row>
    <row r="66" spans="2:18" ht="13.5">
      <c r="B66" s="5"/>
      <c r="D66" s="26"/>
      <c r="H66" s="27"/>
      <c r="J66" s="156"/>
      <c r="P66" s="27"/>
      <c r="R66" s="6"/>
    </row>
    <row r="67" spans="2:18" ht="13.5">
      <c r="B67" s="5"/>
      <c r="D67" s="26"/>
      <c r="H67" s="27"/>
      <c r="J67" s="156"/>
      <c r="P67" s="27"/>
      <c r="R67" s="6"/>
    </row>
    <row r="68" spans="2:18" ht="12.75">
      <c r="B68" s="5"/>
      <c r="D68" s="28" t="s">
        <v>29</v>
      </c>
      <c r="E68" s="29"/>
      <c r="F68" s="29"/>
      <c r="G68" s="30" t="s">
        <v>30</v>
      </c>
      <c r="H68" s="31"/>
      <c r="J68" s="157" t="s">
        <v>29</v>
      </c>
      <c r="K68" s="29"/>
      <c r="L68" s="29"/>
      <c r="M68" s="29"/>
      <c r="N68" s="30" t="s">
        <v>30</v>
      </c>
      <c r="O68" s="29"/>
      <c r="P68" s="31"/>
      <c r="R68" s="6"/>
    </row>
    <row r="69" spans="2:18" ht="13.5">
      <c r="B69" s="32"/>
      <c r="C69" s="33"/>
      <c r="D69" s="33"/>
      <c r="E69" s="33"/>
      <c r="F69" s="33"/>
      <c r="G69" s="33"/>
      <c r="H69" s="33"/>
      <c r="I69" s="33"/>
      <c r="J69" s="158"/>
      <c r="K69" s="33"/>
      <c r="L69" s="33"/>
      <c r="M69" s="33"/>
      <c r="N69" s="33"/>
      <c r="O69" s="33"/>
      <c r="P69" s="33"/>
      <c r="Q69" s="33"/>
      <c r="R69" s="34"/>
    </row>
    <row r="73" spans="2:18" ht="13.5">
      <c r="B73" s="1"/>
      <c r="C73" s="2"/>
      <c r="D73" s="2"/>
      <c r="E73" s="2"/>
      <c r="F73" s="2"/>
      <c r="G73" s="2"/>
      <c r="H73" s="2"/>
      <c r="I73" s="2"/>
      <c r="J73" s="144"/>
      <c r="K73" s="2"/>
      <c r="L73" s="2"/>
      <c r="M73" s="2"/>
      <c r="N73" s="2"/>
      <c r="O73" s="2"/>
      <c r="P73" s="2"/>
      <c r="Q73" s="2"/>
      <c r="R73" s="3"/>
    </row>
    <row r="74" spans="2:18" ht="20.25">
      <c r="B74" s="5"/>
      <c r="C74" s="596" t="s">
        <v>41</v>
      </c>
      <c r="D74" s="597"/>
      <c r="E74" s="597"/>
      <c r="F74" s="597"/>
      <c r="G74" s="597"/>
      <c r="H74" s="597"/>
      <c r="I74" s="597"/>
      <c r="J74" s="597"/>
      <c r="K74" s="597"/>
      <c r="L74" s="597"/>
      <c r="M74" s="597"/>
      <c r="N74" s="597"/>
      <c r="O74" s="597"/>
      <c r="P74" s="597"/>
      <c r="Q74" s="597"/>
      <c r="R74" s="6"/>
    </row>
    <row r="75" spans="2:18" ht="13.5">
      <c r="B75" s="5"/>
      <c r="J75" s="145"/>
      <c r="R75" s="6"/>
    </row>
    <row r="76" spans="2:18" ht="12">
      <c r="B76" s="5"/>
      <c r="C76" s="7" t="s">
        <v>3</v>
      </c>
      <c r="F76" s="620" t="str">
        <f>F4</f>
        <v>Stavební úpravy, vestavba a přístavba stávajícího objektu</v>
      </c>
      <c r="G76" s="621"/>
      <c r="H76" s="621"/>
      <c r="I76" s="621"/>
      <c r="J76" s="621"/>
      <c r="K76" s="621"/>
      <c r="L76" s="621"/>
      <c r="M76" s="621"/>
      <c r="N76" s="621"/>
      <c r="O76" s="621"/>
      <c r="P76" s="621"/>
      <c r="R76" s="6"/>
    </row>
    <row r="77" spans="2:18" ht="15.75">
      <c r="B77" s="5"/>
      <c r="C77" s="8" t="s">
        <v>39</v>
      </c>
      <c r="F77" s="590" t="str">
        <f>F5</f>
        <v>Stavební úpravy objektu</v>
      </c>
      <c r="G77" s="603"/>
      <c r="H77" s="603"/>
      <c r="I77" s="603"/>
      <c r="J77" s="603"/>
      <c r="K77" s="603"/>
      <c r="L77" s="603"/>
      <c r="M77" s="603"/>
      <c r="N77" s="603"/>
      <c r="O77" s="603"/>
      <c r="P77" s="603"/>
      <c r="R77" s="6"/>
    </row>
    <row r="78" spans="2:18" ht="13.5">
      <c r="B78" s="5"/>
      <c r="J78" s="145"/>
      <c r="R78" s="6"/>
    </row>
    <row r="79" spans="2:18" ht="12">
      <c r="B79" s="5"/>
      <c r="C79" s="7" t="s">
        <v>6</v>
      </c>
      <c r="F79" s="9" t="str">
        <f>F7</f>
        <v>Mírové náměstí 23/12, Bílina - p.č. 124, 125/1, 125/2, 125/3, k.ú. Bílina (604208)</v>
      </c>
      <c r="J79" s="145"/>
      <c r="K79" s="7" t="s">
        <v>7</v>
      </c>
      <c r="M79" s="616">
        <f>IF(O7="","",O7)</f>
        <v>0</v>
      </c>
      <c r="N79" s="616"/>
      <c r="O79" s="616"/>
      <c r="P79" s="616"/>
      <c r="R79" s="6"/>
    </row>
    <row r="80" spans="2:18" ht="13.5">
      <c r="B80" s="5"/>
      <c r="J80" s="145"/>
      <c r="R80" s="6"/>
    </row>
    <row r="81" spans="2:18" ht="12">
      <c r="B81" s="5"/>
      <c r="C81" s="7" t="s">
        <v>8</v>
      </c>
      <c r="F81" s="9" t="str">
        <f>F9</f>
        <v>město Bílina</v>
      </c>
      <c r="J81" s="145"/>
      <c r="K81" s="7" t="s">
        <v>13</v>
      </c>
      <c r="M81" s="591" t="str">
        <f>E16</f>
        <v>Ing. arch. Bořek Peška</v>
      </c>
      <c r="N81" s="591"/>
      <c r="O81" s="591"/>
      <c r="P81" s="591"/>
      <c r="Q81" s="591"/>
      <c r="R81" s="6"/>
    </row>
    <row r="82" spans="2:18" ht="12">
      <c r="B82" s="5"/>
      <c r="C82" s="7" t="s">
        <v>11</v>
      </c>
      <c r="F82" s="9">
        <f>F12</f>
        <v>0</v>
      </c>
      <c r="J82" s="145"/>
      <c r="K82" s="7" t="s">
        <v>14</v>
      </c>
      <c r="M82" s="591" t="str">
        <f>E19</f>
        <v>Jakub Kulhavý</v>
      </c>
      <c r="N82" s="591"/>
      <c r="O82" s="591"/>
      <c r="P82" s="591"/>
      <c r="Q82" s="591"/>
      <c r="R82" s="6"/>
    </row>
    <row r="83" spans="2:18" ht="13.5">
      <c r="B83" s="5"/>
      <c r="J83" s="145"/>
      <c r="R83" s="6"/>
    </row>
    <row r="84" spans="2:18" ht="12">
      <c r="B84" s="5"/>
      <c r="C84" s="641" t="s">
        <v>42</v>
      </c>
      <c r="D84" s="642"/>
      <c r="E84" s="642"/>
      <c r="F84" s="642"/>
      <c r="G84" s="642"/>
      <c r="H84" s="50" t="s">
        <v>205</v>
      </c>
      <c r="I84" s="209">
        <f>159.6+218.9*3</f>
        <v>816.3000000000001</v>
      </c>
      <c r="J84" s="159"/>
      <c r="K84" s="50" t="s">
        <v>204</v>
      </c>
      <c r="L84" s="50"/>
      <c r="M84" s="50"/>
      <c r="N84" s="641" t="s">
        <v>43</v>
      </c>
      <c r="O84" s="642"/>
      <c r="P84" s="642"/>
      <c r="Q84" s="642"/>
      <c r="R84" s="6"/>
    </row>
    <row r="85" spans="2:18" ht="13.5">
      <c r="B85" s="5"/>
      <c r="J85" s="145"/>
      <c r="R85" s="6"/>
    </row>
    <row r="86" spans="2:20" ht="15.75">
      <c r="B86" s="5"/>
      <c r="C86" s="160" t="s">
        <v>44</v>
      </c>
      <c r="J86" s="145"/>
      <c r="K86" s="205">
        <f aca="true" t="shared" si="0" ref="K86:K111">N86/$I$84</f>
        <v>0</v>
      </c>
      <c r="N86" s="602">
        <f>N87+N96</f>
        <v>0</v>
      </c>
      <c r="O86" s="643"/>
      <c r="P86" s="643"/>
      <c r="Q86" s="643"/>
      <c r="R86" s="6"/>
      <c r="T86" s="161">
        <f>SUM(N86:Q111)/3</f>
        <v>0</v>
      </c>
    </row>
    <row r="87" spans="2:22" s="163" customFormat="1" ht="15">
      <c r="B87" s="162"/>
      <c r="D87" s="164" t="s">
        <v>45</v>
      </c>
      <c r="J87" s="165"/>
      <c r="K87" s="206">
        <f t="shared" si="0"/>
        <v>0</v>
      </c>
      <c r="N87" s="629">
        <f>SUM(N88:Q95)</f>
        <v>0</v>
      </c>
      <c r="O87" s="630"/>
      <c r="P87" s="630"/>
      <c r="Q87" s="630"/>
      <c r="R87" s="166"/>
      <c r="T87" s="161">
        <f>SUM(N87:Q95)/2</f>
        <v>0</v>
      </c>
      <c r="U87" s="192"/>
      <c r="V87" s="383"/>
    </row>
    <row r="88" spans="2:22" s="131" customFormat="1" ht="12.75">
      <c r="B88" s="130"/>
      <c r="D88" s="167" t="str">
        <f>D134</f>
        <v xml:space="preserve">    1 - Zemní práce</v>
      </c>
      <c r="J88" s="168"/>
      <c r="K88" s="207">
        <f t="shared" si="0"/>
        <v>0</v>
      </c>
      <c r="N88" s="631">
        <f>N134</f>
        <v>0</v>
      </c>
      <c r="O88" s="632"/>
      <c r="P88" s="632"/>
      <c r="Q88" s="632"/>
      <c r="R88" s="132"/>
      <c r="T88" s="133"/>
      <c r="U88" s="193"/>
      <c r="V88" s="256"/>
    </row>
    <row r="89" spans="2:22" s="131" customFormat="1" ht="12.75">
      <c r="B89" s="130"/>
      <c r="D89" s="167" t="str">
        <f>D155</f>
        <v xml:space="preserve">    2 - Zakládání</v>
      </c>
      <c r="J89" s="168"/>
      <c r="K89" s="207">
        <f t="shared" si="0"/>
        <v>0</v>
      </c>
      <c r="N89" s="631">
        <f>N155</f>
        <v>0</v>
      </c>
      <c r="O89" s="632"/>
      <c r="P89" s="632"/>
      <c r="Q89" s="632"/>
      <c r="R89" s="132"/>
      <c r="T89" s="133"/>
      <c r="U89" s="193"/>
      <c r="V89" s="256"/>
    </row>
    <row r="90" spans="2:22" s="131" customFormat="1" ht="12.75">
      <c r="B90" s="130"/>
      <c r="D90" s="167" t="str">
        <f>D191</f>
        <v xml:space="preserve">    3 - Svislé a kompletní konstrukce</v>
      </c>
      <c r="J90" s="168"/>
      <c r="K90" s="207">
        <f t="shared" si="0"/>
        <v>0</v>
      </c>
      <c r="N90" s="631">
        <f>N191</f>
        <v>0</v>
      </c>
      <c r="O90" s="632"/>
      <c r="P90" s="632"/>
      <c r="Q90" s="632"/>
      <c r="R90" s="132"/>
      <c r="T90" s="133"/>
      <c r="U90" s="193"/>
      <c r="V90" s="256"/>
    </row>
    <row r="91" spans="2:22" s="131" customFormat="1" ht="12.75">
      <c r="B91" s="130"/>
      <c r="D91" s="167" t="str">
        <f>D236</f>
        <v xml:space="preserve">    4 - Vodorovné konstrukce</v>
      </c>
      <c r="J91" s="168"/>
      <c r="K91" s="207">
        <f>N91/$I$84</f>
        <v>0</v>
      </c>
      <c r="N91" s="631">
        <f>N236</f>
        <v>0</v>
      </c>
      <c r="O91" s="632"/>
      <c r="P91" s="632"/>
      <c r="Q91" s="632"/>
      <c r="R91" s="132"/>
      <c r="T91" s="133"/>
      <c r="U91" s="193"/>
      <c r="V91" s="256"/>
    </row>
    <row r="92" spans="2:22" s="131" customFormat="1" ht="12.75">
      <c r="B92" s="130"/>
      <c r="D92" s="167" t="str">
        <f>D287</f>
        <v xml:space="preserve">    6 - Úpravy povrchů, podlahy a osazování výplní</v>
      </c>
      <c r="J92" s="168"/>
      <c r="K92" s="207">
        <f t="shared" si="0"/>
        <v>0</v>
      </c>
      <c r="N92" s="631">
        <f>N287</f>
        <v>0</v>
      </c>
      <c r="O92" s="632"/>
      <c r="P92" s="632"/>
      <c r="Q92" s="632"/>
      <c r="R92" s="132"/>
      <c r="T92" s="133"/>
      <c r="U92" s="193"/>
      <c r="V92" s="256"/>
    </row>
    <row r="93" spans="2:22" s="131" customFormat="1" ht="12.75">
      <c r="B93" s="130"/>
      <c r="D93" s="167" t="str">
        <f>D362</f>
        <v xml:space="preserve">    9 - Ostatní konstrukce a práce, bourání</v>
      </c>
      <c r="J93" s="168"/>
      <c r="K93" s="207">
        <f t="shared" si="0"/>
        <v>0</v>
      </c>
      <c r="N93" s="631">
        <f>N362</f>
        <v>0</v>
      </c>
      <c r="O93" s="632"/>
      <c r="P93" s="632"/>
      <c r="Q93" s="632"/>
      <c r="R93" s="132"/>
      <c r="T93" s="133"/>
      <c r="U93" s="193"/>
      <c r="V93" s="256"/>
    </row>
    <row r="94" spans="2:22" s="131" customFormat="1" ht="12.75">
      <c r="B94" s="130"/>
      <c r="D94" s="167" t="str">
        <f>D365</f>
        <v xml:space="preserve">    94 - Lešení</v>
      </c>
      <c r="J94" s="168"/>
      <c r="K94" s="207">
        <f t="shared" si="0"/>
        <v>0</v>
      </c>
      <c r="N94" s="631">
        <f>N365</f>
        <v>0</v>
      </c>
      <c r="O94" s="632"/>
      <c r="P94" s="632"/>
      <c r="Q94" s="632"/>
      <c r="R94" s="132"/>
      <c r="T94" s="133"/>
      <c r="U94" s="193"/>
      <c r="V94" s="256"/>
    </row>
    <row r="95" spans="2:22" s="131" customFormat="1" ht="12.75">
      <c r="B95" s="130"/>
      <c r="D95" s="167" t="str">
        <f>D378</f>
        <v xml:space="preserve">    998 - Přesuny hmot pro HSV</v>
      </c>
      <c r="J95" s="168"/>
      <c r="K95" s="207">
        <f t="shared" si="0"/>
        <v>0</v>
      </c>
      <c r="N95" s="631">
        <f>N378</f>
        <v>0</v>
      </c>
      <c r="O95" s="632"/>
      <c r="P95" s="632"/>
      <c r="Q95" s="632"/>
      <c r="R95" s="132"/>
      <c r="T95" s="133"/>
      <c r="U95" s="193"/>
      <c r="V95" s="256"/>
    </row>
    <row r="96" spans="2:22" s="163" customFormat="1" ht="15">
      <c r="B96" s="162"/>
      <c r="D96" s="164" t="s">
        <v>50</v>
      </c>
      <c r="J96" s="165"/>
      <c r="K96" s="206">
        <f t="shared" si="0"/>
        <v>0</v>
      </c>
      <c r="N96" s="629">
        <f>SUM(N97:Q111)</f>
        <v>0</v>
      </c>
      <c r="O96" s="630"/>
      <c r="P96" s="630"/>
      <c r="Q96" s="630"/>
      <c r="R96" s="166"/>
      <c r="T96" s="161">
        <f>SUM(N96:Q111)/2</f>
        <v>0</v>
      </c>
      <c r="U96" s="192"/>
      <c r="V96" s="383"/>
    </row>
    <row r="97" spans="2:22" s="131" customFormat="1" ht="12.75">
      <c r="B97" s="130"/>
      <c r="D97" s="167" t="str">
        <f>D381</f>
        <v xml:space="preserve">    711 - Izolace proti vodě, vlhkosti a plynům</v>
      </c>
      <c r="J97" s="168"/>
      <c r="K97" s="207">
        <f t="shared" si="0"/>
        <v>0</v>
      </c>
      <c r="N97" s="631">
        <f>N381</f>
        <v>0</v>
      </c>
      <c r="O97" s="632"/>
      <c r="P97" s="632"/>
      <c r="Q97" s="632"/>
      <c r="R97" s="132"/>
      <c r="T97" s="133"/>
      <c r="U97" s="193"/>
      <c r="V97" s="256"/>
    </row>
    <row r="98" spans="2:22" s="131" customFormat="1" ht="12.75">
      <c r="B98" s="130"/>
      <c r="D98" s="167" t="str">
        <f>D413</f>
        <v xml:space="preserve">    712 - Povlakové krytiny</v>
      </c>
      <c r="J98" s="168"/>
      <c r="K98" s="207">
        <f t="shared" si="0"/>
        <v>0</v>
      </c>
      <c r="N98" s="631">
        <f>N413</f>
        <v>0</v>
      </c>
      <c r="O98" s="632"/>
      <c r="P98" s="632"/>
      <c r="Q98" s="632"/>
      <c r="R98" s="132"/>
      <c r="T98" s="133"/>
      <c r="U98" s="193"/>
      <c r="V98" s="256"/>
    </row>
    <row r="99" spans="2:22" s="131" customFormat="1" ht="12.75">
      <c r="B99" s="130"/>
      <c r="D99" s="167" t="str">
        <f>D446</f>
        <v xml:space="preserve">    713 - Izolace tepelné</v>
      </c>
      <c r="J99" s="168"/>
      <c r="K99" s="207">
        <f t="shared" si="0"/>
        <v>0</v>
      </c>
      <c r="N99" s="631">
        <f>N446</f>
        <v>0</v>
      </c>
      <c r="O99" s="632"/>
      <c r="P99" s="632"/>
      <c r="Q99" s="632"/>
      <c r="R99" s="132"/>
      <c r="T99" s="133"/>
      <c r="U99" s="193"/>
      <c r="V99" s="256"/>
    </row>
    <row r="100" spans="2:22" s="131" customFormat="1" ht="12.75">
      <c r="B100" s="130"/>
      <c r="D100" s="167" t="str">
        <f>D549</f>
        <v xml:space="preserve">    762 - Konstrukce tesařské</v>
      </c>
      <c r="J100" s="168"/>
      <c r="K100" s="207">
        <f t="shared" si="0"/>
        <v>0</v>
      </c>
      <c r="N100" s="631">
        <f>N549</f>
        <v>0</v>
      </c>
      <c r="O100" s="632"/>
      <c r="P100" s="632"/>
      <c r="Q100" s="632"/>
      <c r="R100" s="132"/>
      <c r="T100" s="133"/>
      <c r="U100" s="193"/>
      <c r="V100" s="256"/>
    </row>
    <row r="101" spans="2:22" s="131" customFormat="1" ht="12.75">
      <c r="B101" s="130"/>
      <c r="D101" s="167" t="str">
        <f>D629</f>
        <v xml:space="preserve">    763 - Konstrukce suché výstavby</v>
      </c>
      <c r="J101" s="168"/>
      <c r="K101" s="207">
        <f t="shared" si="0"/>
        <v>0</v>
      </c>
      <c r="N101" s="631">
        <f>N629</f>
        <v>0</v>
      </c>
      <c r="O101" s="632"/>
      <c r="P101" s="632"/>
      <c r="Q101" s="632"/>
      <c r="R101" s="132"/>
      <c r="T101" s="133"/>
      <c r="U101" s="193"/>
      <c r="V101" s="256"/>
    </row>
    <row r="102" spans="2:22" s="131" customFormat="1" ht="12.75">
      <c r="B102" s="130"/>
      <c r="D102" s="167" t="str">
        <f>D669</f>
        <v xml:space="preserve">    765 - Konstrukce pokrývačské</v>
      </c>
      <c r="J102" s="168"/>
      <c r="K102" s="207">
        <f>N102/$I$84</f>
        <v>0</v>
      </c>
      <c r="N102" s="631">
        <f>N669</f>
        <v>0</v>
      </c>
      <c r="O102" s="632"/>
      <c r="P102" s="632"/>
      <c r="Q102" s="632"/>
      <c r="R102" s="132"/>
      <c r="T102" s="133"/>
      <c r="U102" s="193"/>
      <c r="V102" s="256"/>
    </row>
    <row r="103" spans="2:22" s="131" customFormat="1" ht="12.75">
      <c r="B103" s="130"/>
      <c r="D103" s="167" t="str">
        <f>D686</f>
        <v xml:space="preserve">    766 - Konstrukce truhlářské</v>
      </c>
      <c r="J103" s="168"/>
      <c r="K103" s="207">
        <f>N103/$I$84</f>
        <v>0</v>
      </c>
      <c r="N103" s="631">
        <f>N686</f>
        <v>0</v>
      </c>
      <c r="O103" s="632"/>
      <c r="P103" s="632"/>
      <c r="Q103" s="632"/>
      <c r="R103" s="132"/>
      <c r="T103" s="133"/>
      <c r="U103" s="193"/>
      <c r="V103" s="256"/>
    </row>
    <row r="104" spans="2:22" s="131" customFormat="1" ht="12.75">
      <c r="B104" s="130"/>
      <c r="D104" s="167" t="str">
        <f>D706</f>
        <v xml:space="preserve">    771 - Podlahy z dlaždic</v>
      </c>
      <c r="J104" s="168"/>
      <c r="K104" s="207">
        <f t="shared" si="0"/>
        <v>0</v>
      </c>
      <c r="N104" s="631">
        <f>N706</f>
        <v>0</v>
      </c>
      <c r="O104" s="632"/>
      <c r="P104" s="632"/>
      <c r="Q104" s="632"/>
      <c r="R104" s="132"/>
      <c r="T104" s="133"/>
      <c r="U104" s="193"/>
      <c r="V104" s="256"/>
    </row>
    <row r="105" spans="2:22" s="131" customFormat="1" ht="12.75">
      <c r="B105" s="130"/>
      <c r="D105" s="167" t="str">
        <f>D735</f>
        <v xml:space="preserve">    772 - Podlahy kamenné</v>
      </c>
      <c r="J105" s="168"/>
      <c r="K105" s="207">
        <f t="shared" si="0"/>
        <v>0</v>
      </c>
      <c r="N105" s="631">
        <f>N735</f>
        <v>0</v>
      </c>
      <c r="O105" s="632"/>
      <c r="P105" s="632"/>
      <c r="Q105" s="632"/>
      <c r="R105" s="132"/>
      <c r="T105" s="133"/>
      <c r="U105" s="193"/>
      <c r="V105" s="256"/>
    </row>
    <row r="106" spans="2:22" s="131" customFormat="1" ht="12.75">
      <c r="B106" s="130"/>
      <c r="D106" s="167" t="str">
        <f>D742</f>
        <v xml:space="preserve">    773 - Podlahy teracové</v>
      </c>
      <c r="J106" s="168"/>
      <c r="K106" s="207">
        <f t="shared" si="0"/>
        <v>0</v>
      </c>
      <c r="N106" s="631">
        <f>N742</f>
        <v>0</v>
      </c>
      <c r="O106" s="632"/>
      <c r="P106" s="632"/>
      <c r="Q106" s="632"/>
      <c r="R106" s="132"/>
      <c r="T106" s="133"/>
      <c r="U106" s="193"/>
      <c r="V106" s="256"/>
    </row>
    <row r="107" spans="2:22" s="131" customFormat="1" ht="12.75">
      <c r="B107" s="130"/>
      <c r="D107" s="167" t="str">
        <f>D753</f>
        <v xml:space="preserve">    775 - Podlahy skládané</v>
      </c>
      <c r="J107" s="168"/>
      <c r="K107" s="207">
        <f t="shared" si="0"/>
        <v>0</v>
      </c>
      <c r="N107" s="631">
        <f>N753</f>
        <v>0</v>
      </c>
      <c r="O107" s="632"/>
      <c r="P107" s="632"/>
      <c r="Q107" s="632"/>
      <c r="R107" s="132"/>
      <c r="T107" s="133"/>
      <c r="U107" s="193"/>
      <c r="V107" s="256"/>
    </row>
    <row r="108" spans="2:22" s="131" customFormat="1" ht="12.75">
      <c r="B108" s="130"/>
      <c r="D108" s="167" t="str">
        <f>D770</f>
        <v xml:space="preserve">    777 - Podlahy lité</v>
      </c>
      <c r="J108" s="168"/>
      <c r="K108" s="207">
        <f t="shared" si="0"/>
        <v>0</v>
      </c>
      <c r="N108" s="631">
        <f>N770</f>
        <v>0</v>
      </c>
      <c r="O108" s="632"/>
      <c r="P108" s="632"/>
      <c r="Q108" s="632"/>
      <c r="R108" s="132"/>
      <c r="T108" s="133"/>
      <c r="U108" s="193"/>
      <c r="V108" s="256"/>
    </row>
    <row r="109" spans="2:22" s="131" customFormat="1" ht="12.75">
      <c r="B109" s="130"/>
      <c r="D109" s="167" t="str">
        <f>D781</f>
        <v xml:space="preserve">    781 - Keramické obklady</v>
      </c>
      <c r="J109" s="168"/>
      <c r="K109" s="207">
        <f t="shared" si="0"/>
        <v>0</v>
      </c>
      <c r="N109" s="631">
        <f>N781</f>
        <v>0</v>
      </c>
      <c r="O109" s="632"/>
      <c r="P109" s="632"/>
      <c r="Q109" s="632"/>
      <c r="R109" s="132"/>
      <c r="T109" s="133"/>
      <c r="U109" s="193"/>
      <c r="V109" s="256"/>
    </row>
    <row r="110" spans="2:22" s="131" customFormat="1" ht="12.75">
      <c r="B110" s="130"/>
      <c r="D110" s="167" t="str">
        <f>D788</f>
        <v xml:space="preserve">    783 - Dokončovací práce - nátěry</v>
      </c>
      <c r="J110" s="168"/>
      <c r="K110" s="207">
        <f t="shared" si="0"/>
        <v>0</v>
      </c>
      <c r="N110" s="631">
        <f>N788</f>
        <v>0</v>
      </c>
      <c r="O110" s="632"/>
      <c r="P110" s="632"/>
      <c r="Q110" s="632"/>
      <c r="R110" s="132"/>
      <c r="T110" s="133"/>
      <c r="U110" s="193"/>
      <c r="V110" s="256"/>
    </row>
    <row r="111" spans="2:22" s="131" customFormat="1" ht="12.75">
      <c r="B111" s="130"/>
      <c r="D111" s="167" t="str">
        <f>D805</f>
        <v xml:space="preserve">    784 - Dokončovací práce - malby a tapety</v>
      </c>
      <c r="J111" s="168"/>
      <c r="K111" s="207">
        <f t="shared" si="0"/>
        <v>0</v>
      </c>
      <c r="N111" s="631">
        <f>N805</f>
        <v>0</v>
      </c>
      <c r="O111" s="632"/>
      <c r="P111" s="632"/>
      <c r="Q111" s="632"/>
      <c r="R111" s="132"/>
      <c r="T111" s="133"/>
      <c r="U111" s="193"/>
      <c r="V111" s="256"/>
    </row>
    <row r="112" spans="2:18" ht="13.5">
      <c r="B112" s="5"/>
      <c r="J112" s="145"/>
      <c r="R112" s="6"/>
    </row>
    <row r="113" spans="2:18" ht="15.75">
      <c r="B113" s="5"/>
      <c r="C113" s="49" t="s">
        <v>97</v>
      </c>
      <c r="D113" s="50"/>
      <c r="E113" s="50"/>
      <c r="F113" s="50"/>
      <c r="G113" s="50"/>
      <c r="H113" s="50"/>
      <c r="I113" s="50"/>
      <c r="J113" s="159"/>
      <c r="K113" s="208">
        <f>L113/$I$84</f>
        <v>0</v>
      </c>
      <c r="L113" s="615">
        <f>ROUND(N86,2)</f>
        <v>0</v>
      </c>
      <c r="M113" s="615"/>
      <c r="N113" s="615"/>
      <c r="O113" s="615"/>
      <c r="P113" s="615"/>
      <c r="Q113" s="615"/>
      <c r="R113" s="6"/>
    </row>
    <row r="114" spans="2:18" ht="13.5">
      <c r="B114" s="32"/>
      <c r="C114" s="33"/>
      <c r="D114" s="33"/>
      <c r="E114" s="33"/>
      <c r="F114" s="33"/>
      <c r="G114" s="33"/>
      <c r="H114" s="33"/>
      <c r="I114" s="33"/>
      <c r="J114" s="158"/>
      <c r="K114" s="33"/>
      <c r="L114" s="33"/>
      <c r="M114" s="33"/>
      <c r="N114" s="33"/>
      <c r="O114" s="33"/>
      <c r="P114" s="33"/>
      <c r="Q114" s="33"/>
      <c r="R114" s="34"/>
    </row>
    <row r="118" spans="2:18" ht="13.5">
      <c r="B118" s="1"/>
      <c r="C118" s="2"/>
      <c r="D118" s="2"/>
      <c r="E118" s="2"/>
      <c r="F118" s="2"/>
      <c r="G118" s="2"/>
      <c r="H118" s="2"/>
      <c r="I118" s="2"/>
      <c r="J118" s="144"/>
      <c r="K118" s="2"/>
      <c r="L118" s="2"/>
      <c r="M118" s="2"/>
      <c r="N118" s="2"/>
      <c r="O118" s="2"/>
      <c r="P118" s="2"/>
      <c r="Q118" s="2"/>
      <c r="R118" s="3"/>
    </row>
    <row r="119" spans="2:18" ht="20.25">
      <c r="B119" s="5"/>
      <c r="C119" s="596" t="s">
        <v>57</v>
      </c>
      <c r="D119" s="603"/>
      <c r="E119" s="603"/>
      <c r="F119" s="603"/>
      <c r="G119" s="603"/>
      <c r="H119" s="603"/>
      <c r="I119" s="603"/>
      <c r="J119" s="603"/>
      <c r="K119" s="603"/>
      <c r="L119" s="603"/>
      <c r="M119" s="603"/>
      <c r="N119" s="603"/>
      <c r="O119" s="603"/>
      <c r="P119" s="603"/>
      <c r="Q119" s="603"/>
      <c r="R119" s="6"/>
    </row>
    <row r="120" spans="2:18" ht="2.25" customHeight="1">
      <c r="B120" s="5"/>
      <c r="J120" s="145"/>
      <c r="R120" s="6"/>
    </row>
    <row r="121" spans="2:18" ht="12">
      <c r="B121" s="5"/>
      <c r="C121" s="7" t="s">
        <v>3</v>
      </c>
      <c r="F121" s="620" t="str">
        <f>F4</f>
        <v>Stavební úpravy, vestavba a přístavba stávajícího objektu</v>
      </c>
      <c r="G121" s="621"/>
      <c r="H121" s="621"/>
      <c r="I121" s="621"/>
      <c r="J121" s="621"/>
      <c r="K121" s="621"/>
      <c r="L121" s="621"/>
      <c r="M121" s="621"/>
      <c r="N121" s="621"/>
      <c r="O121" s="621"/>
      <c r="P121" s="621"/>
      <c r="R121" s="6"/>
    </row>
    <row r="122" spans="2:18" ht="15.75">
      <c r="B122" s="5"/>
      <c r="C122" s="8" t="s">
        <v>39</v>
      </c>
      <c r="F122" s="590" t="str">
        <f>F5</f>
        <v>Stavební úpravy objektu</v>
      </c>
      <c r="G122" s="603"/>
      <c r="H122" s="603"/>
      <c r="I122" s="603"/>
      <c r="J122" s="603"/>
      <c r="K122" s="603"/>
      <c r="L122" s="603"/>
      <c r="M122" s="603"/>
      <c r="N122" s="603"/>
      <c r="O122" s="603"/>
      <c r="P122" s="603"/>
      <c r="R122" s="6"/>
    </row>
    <row r="123" spans="2:18" ht="13.5">
      <c r="B123" s="5"/>
      <c r="J123" s="145"/>
      <c r="R123" s="6"/>
    </row>
    <row r="124" spans="2:18" ht="12">
      <c r="B124" s="5"/>
      <c r="C124" s="7" t="s">
        <v>6</v>
      </c>
      <c r="F124" s="9" t="str">
        <f>F7</f>
        <v>Mírové náměstí 23/12, Bílina - p.č. 124, 125/1, 125/2, 125/3, k.ú. Bílina (604208)</v>
      </c>
      <c r="J124" s="145"/>
      <c r="K124" s="7" t="s">
        <v>7</v>
      </c>
      <c r="M124" s="616">
        <f>IF(O7="","",O7)</f>
        <v>0</v>
      </c>
      <c r="N124" s="616"/>
      <c r="O124" s="616"/>
      <c r="P124" s="616"/>
      <c r="R124" s="6"/>
    </row>
    <row r="125" spans="2:18" ht="13.5">
      <c r="B125" s="5"/>
      <c r="J125" s="145"/>
      <c r="R125" s="6"/>
    </row>
    <row r="126" spans="2:18" ht="12">
      <c r="B126" s="5"/>
      <c r="C126" s="7" t="s">
        <v>8</v>
      </c>
      <c r="F126" s="9" t="str">
        <f>F81</f>
        <v>město Bílina</v>
      </c>
      <c r="J126" s="145"/>
      <c r="K126" s="7" t="s">
        <v>13</v>
      </c>
      <c r="M126" s="591" t="str">
        <f>E16</f>
        <v>Ing. arch. Bořek Peška</v>
      </c>
      <c r="N126" s="591"/>
      <c r="O126" s="591"/>
      <c r="P126" s="591"/>
      <c r="Q126" s="591"/>
      <c r="R126" s="6"/>
    </row>
    <row r="127" spans="2:18" ht="12">
      <c r="B127" s="5"/>
      <c r="C127" s="7" t="s">
        <v>11</v>
      </c>
      <c r="F127" s="9">
        <f>F82</f>
        <v>0</v>
      </c>
      <c r="J127" s="145"/>
      <c r="K127" s="7" t="s">
        <v>14</v>
      </c>
      <c r="M127" s="591" t="str">
        <f>E19</f>
        <v>Jakub Kulhavý</v>
      </c>
      <c r="N127" s="591"/>
      <c r="O127" s="591"/>
      <c r="P127" s="591"/>
      <c r="Q127" s="591"/>
      <c r="R127" s="6"/>
    </row>
    <row r="128" spans="2:18" ht="12">
      <c r="B128" s="5"/>
      <c r="C128" s="7"/>
      <c r="F128" s="620"/>
      <c r="G128" s="621"/>
      <c r="H128" s="621"/>
      <c r="I128" s="621"/>
      <c r="J128" s="621"/>
      <c r="K128" s="621"/>
      <c r="L128" s="621"/>
      <c r="M128" s="621"/>
      <c r="N128" s="621"/>
      <c r="O128" s="621"/>
      <c r="P128" s="621"/>
      <c r="R128" s="6"/>
    </row>
    <row r="129" spans="2:18" ht="28.5" customHeight="1">
      <c r="B129" s="5"/>
      <c r="C129" s="7" t="s">
        <v>109</v>
      </c>
      <c r="F129" s="589" t="s">
        <v>2058</v>
      </c>
      <c r="G129" s="589"/>
      <c r="H129" s="589"/>
      <c r="I129" s="589"/>
      <c r="J129" s="589"/>
      <c r="K129" s="589"/>
      <c r="L129" s="589"/>
      <c r="M129" s="589"/>
      <c r="N129" s="589"/>
      <c r="O129" s="589"/>
      <c r="P129" s="589"/>
      <c r="R129" s="6"/>
    </row>
    <row r="130" spans="2:18" ht="3.75" customHeight="1">
      <c r="B130" s="5"/>
      <c r="J130" s="145"/>
      <c r="R130" s="6"/>
    </row>
    <row r="131" spans="2:21" s="138" customFormat="1" ht="12">
      <c r="B131" s="134"/>
      <c r="C131" s="169" t="s">
        <v>58</v>
      </c>
      <c r="D131" s="135" t="s">
        <v>59</v>
      </c>
      <c r="E131" s="135" t="s">
        <v>34</v>
      </c>
      <c r="F131" s="622" t="s">
        <v>60</v>
      </c>
      <c r="G131" s="622"/>
      <c r="H131" s="622"/>
      <c r="I131" s="622"/>
      <c r="J131" s="170" t="s">
        <v>61</v>
      </c>
      <c r="K131" s="135" t="s">
        <v>62</v>
      </c>
      <c r="L131" s="623" t="s">
        <v>63</v>
      </c>
      <c r="M131" s="623"/>
      <c r="N131" s="622" t="s">
        <v>43</v>
      </c>
      <c r="O131" s="622"/>
      <c r="P131" s="622"/>
      <c r="Q131" s="624"/>
      <c r="R131" s="136"/>
      <c r="T131" s="137"/>
      <c r="U131" s="194"/>
    </row>
    <row r="132" spans="2:20" ht="15.75">
      <c r="B132" s="5"/>
      <c r="C132" s="42" t="s">
        <v>40</v>
      </c>
      <c r="J132" s="145"/>
      <c r="N132" s="644">
        <f>N133+N380</f>
        <v>0</v>
      </c>
      <c r="O132" s="645"/>
      <c r="P132" s="645"/>
      <c r="Q132" s="645"/>
      <c r="R132" s="6"/>
      <c r="T132" s="129">
        <f>SUM(N132:Q819)/4</f>
        <v>0</v>
      </c>
    </row>
    <row r="133" spans="2:22" s="143" customFormat="1" ht="15">
      <c r="B133" s="139"/>
      <c r="D133" s="164" t="s">
        <v>45</v>
      </c>
      <c r="E133" s="164"/>
      <c r="F133" s="164"/>
      <c r="G133" s="164"/>
      <c r="H133" s="164"/>
      <c r="I133" s="164"/>
      <c r="J133" s="171"/>
      <c r="K133" s="164"/>
      <c r="L133" s="164"/>
      <c r="M133" s="164"/>
      <c r="N133" s="629">
        <f>N134+N155+N191+N236+N287+N362+N365+N378</f>
        <v>0</v>
      </c>
      <c r="O133" s="629"/>
      <c r="P133" s="629"/>
      <c r="Q133" s="629"/>
      <c r="R133" s="141"/>
      <c r="T133" s="142">
        <f>SUM(N133:Q379)/3</f>
        <v>0</v>
      </c>
      <c r="U133" s="177"/>
      <c r="V133" s="384"/>
    </row>
    <row r="134" spans="2:25" s="143" customFormat="1" ht="12.75">
      <c r="B134" s="139"/>
      <c r="C134" s="140"/>
      <c r="D134" s="140" t="s">
        <v>46</v>
      </c>
      <c r="E134" s="140"/>
      <c r="F134" s="140"/>
      <c r="G134" s="140"/>
      <c r="H134" s="140"/>
      <c r="I134" s="140"/>
      <c r="J134" s="172"/>
      <c r="K134" s="140"/>
      <c r="L134" s="140"/>
      <c r="M134" s="140"/>
      <c r="N134" s="633">
        <f>SUM(N135:Q154)</f>
        <v>0</v>
      </c>
      <c r="O134" s="633"/>
      <c r="P134" s="633"/>
      <c r="Q134" s="633"/>
      <c r="R134" s="141"/>
      <c r="T134" s="173">
        <f>SUM(N134:Q154)/2</f>
        <v>0</v>
      </c>
      <c r="U134" s="195"/>
      <c r="V134" s="385"/>
      <c r="W134" s="265"/>
      <c r="X134" s="265"/>
      <c r="Y134" s="265"/>
    </row>
    <row r="135" spans="2:20" ht="27" customHeight="1" outlineLevel="1">
      <c r="B135" s="5"/>
      <c r="C135" s="261"/>
      <c r="D135" s="261" t="s">
        <v>64</v>
      </c>
      <c r="E135" s="262">
        <v>132212131</v>
      </c>
      <c r="F135" s="625" t="s">
        <v>868</v>
      </c>
      <c r="G135" s="625"/>
      <c r="H135" s="625"/>
      <c r="I135" s="625"/>
      <c r="J135" s="174" t="s">
        <v>66</v>
      </c>
      <c r="K135" s="264">
        <f>SUM(K136:K136)</f>
        <v>37.45248</v>
      </c>
      <c r="L135" s="626"/>
      <c r="M135" s="626"/>
      <c r="N135" s="619">
        <f>ROUND(L135*K135,2)</f>
        <v>0</v>
      </c>
      <c r="O135" s="619"/>
      <c r="P135" s="619"/>
      <c r="Q135" s="619"/>
      <c r="R135" s="6"/>
      <c r="T135" s="142"/>
    </row>
    <row r="136" spans="2:22" s="177" customFormat="1" ht="13.5" outlineLevel="1">
      <c r="B136" s="175"/>
      <c r="E136" s="319" t="s">
        <v>782</v>
      </c>
      <c r="F136" s="627" t="s">
        <v>873</v>
      </c>
      <c r="G136" s="628">
        <f>(2*1+13.755*0.6)*(1.41+0.15)</f>
        <v>15.994679999999999</v>
      </c>
      <c r="H136" s="628">
        <f>(2*1+13.755*0.6)*(1.41+0.15)</f>
        <v>15.994679999999999</v>
      </c>
      <c r="I136" s="628">
        <f>(2*1+13.755*0.6)*(1.41+0.15)</f>
        <v>15.994679999999999</v>
      </c>
      <c r="J136" s="176"/>
      <c r="K136" s="266">
        <f>(2*1+13.755*(0.6+1))*(1.41+0.15)</f>
        <v>37.45248</v>
      </c>
      <c r="L136" s="419"/>
      <c r="M136" s="419"/>
      <c r="R136" s="178"/>
      <c r="T136" s="142"/>
      <c r="V136" s="386"/>
    </row>
    <row r="137" spans="2:22" s="177" customFormat="1" ht="33.75" outlineLevel="1">
      <c r="B137" s="175"/>
      <c r="E137" s="319" t="s">
        <v>783</v>
      </c>
      <c r="F137" s="627" t="s">
        <v>865</v>
      </c>
      <c r="G137" s="628">
        <f>(3+0.5+0.5)*1.9*1</f>
        <v>7.6</v>
      </c>
      <c r="H137" s="628">
        <f>(3+0.5+0.5)*1.9*1</f>
        <v>7.6</v>
      </c>
      <c r="I137" s="628">
        <f>(3+0.5+0.5)*1.9*1</f>
        <v>7.6</v>
      </c>
      <c r="J137" s="176"/>
      <c r="K137" s="266">
        <f>(3+0.5+0.5)*1.9*1</f>
        <v>7.6</v>
      </c>
      <c r="L137" s="419"/>
      <c r="M137" s="419"/>
      <c r="R137" s="178"/>
      <c r="T137" s="142"/>
      <c r="V137" s="386"/>
    </row>
    <row r="138" spans="2:20" ht="13.5" outlineLevel="1">
      <c r="B138" s="5"/>
      <c r="C138" s="261"/>
      <c r="D138" s="261" t="s">
        <v>64</v>
      </c>
      <c r="E138" s="262">
        <v>131213701</v>
      </c>
      <c r="F138" s="625" t="s">
        <v>866</v>
      </c>
      <c r="G138" s="625"/>
      <c r="H138" s="625"/>
      <c r="I138" s="625"/>
      <c r="J138" s="174" t="s">
        <v>66</v>
      </c>
      <c r="K138" s="264">
        <f>SUM(K139:K140)</f>
        <v>44.487712499999994</v>
      </c>
      <c r="L138" s="626"/>
      <c r="M138" s="626"/>
      <c r="N138" s="619">
        <f>ROUND(L138*K138,2)</f>
        <v>0</v>
      </c>
      <c r="O138" s="619"/>
      <c r="P138" s="619"/>
      <c r="Q138" s="619"/>
      <c r="R138" s="6"/>
      <c r="T138" s="142"/>
    </row>
    <row r="139" spans="2:22" s="177" customFormat="1" ht="13.5" outlineLevel="1">
      <c r="B139" s="175"/>
      <c r="E139" s="319" t="s">
        <v>867</v>
      </c>
      <c r="F139" s="627" t="s">
        <v>869</v>
      </c>
      <c r="G139" s="628">
        <f>(2.92+1)*(2.8+1+1)*(1.71+0.15)</f>
        <v>34.99775999999999</v>
      </c>
      <c r="H139" s="628">
        <f>(2.92+1)*(2.8+1+1)*(1.71+0.15)</f>
        <v>34.99775999999999</v>
      </c>
      <c r="I139" s="628">
        <f>(2.92+1)*(2.8+1+1)*(1.71+0.15)</f>
        <v>34.99775999999999</v>
      </c>
      <c r="J139" s="176"/>
      <c r="K139" s="266">
        <f>(2.92+1)*(2.8+1+1)*(1.71+0.15)</f>
        <v>34.99775999999999</v>
      </c>
      <c r="L139" s="419"/>
      <c r="M139" s="419"/>
      <c r="R139" s="178"/>
      <c r="T139" s="142"/>
      <c r="V139" s="386"/>
    </row>
    <row r="140" spans="2:22" s="177" customFormat="1" ht="22.5" outlineLevel="1">
      <c r="B140" s="175"/>
      <c r="E140" s="319" t="s">
        <v>877</v>
      </c>
      <c r="F140" s="627" t="s">
        <v>878</v>
      </c>
      <c r="G140" s="628" t="e">
        <f>1.225*16.66*F140</f>
        <v>#VALUE!</v>
      </c>
      <c r="H140" s="628" t="e">
        <f>1.225*16.66*G140</f>
        <v>#VALUE!</v>
      </c>
      <c r="I140" s="628" t="e">
        <f>1.225*16.66*H140</f>
        <v>#VALUE!</v>
      </c>
      <c r="J140" s="176">
        <v>0.465</v>
      </c>
      <c r="K140" s="266">
        <f>1.225*16.66*J140</f>
        <v>9.489952500000001</v>
      </c>
      <c r="L140" s="419"/>
      <c r="M140" s="419"/>
      <c r="R140" s="178"/>
      <c r="T140" s="142"/>
      <c r="V140" s="386"/>
    </row>
    <row r="141" spans="2:20" ht="13.5" outlineLevel="1">
      <c r="B141" s="5"/>
      <c r="C141" s="261"/>
      <c r="D141" s="261" t="s">
        <v>64</v>
      </c>
      <c r="E141" s="262">
        <v>132211401</v>
      </c>
      <c r="F141" s="625" t="s">
        <v>399</v>
      </c>
      <c r="G141" s="625"/>
      <c r="H141" s="625"/>
      <c r="I141" s="625"/>
      <c r="J141" s="174" t="s">
        <v>66</v>
      </c>
      <c r="K141" s="264">
        <f>SUM(K142:K142)</f>
        <v>1.0709999999999997</v>
      </c>
      <c r="L141" s="626"/>
      <c r="M141" s="626"/>
      <c r="N141" s="619">
        <f>ROUND(L141*K141,2)</f>
        <v>0</v>
      </c>
      <c r="O141" s="619"/>
      <c r="P141" s="619"/>
      <c r="Q141" s="619"/>
      <c r="R141" s="6"/>
      <c r="T141" s="142"/>
    </row>
    <row r="142" spans="2:22" s="177" customFormat="1" ht="13.5" outlineLevel="1">
      <c r="B142" s="175"/>
      <c r="E142" s="319" t="s">
        <v>396</v>
      </c>
      <c r="F142" s="627" t="s">
        <v>870</v>
      </c>
      <c r="G142" s="628">
        <f>3*0.7*0.51</f>
        <v>1.0709999999999997</v>
      </c>
      <c r="H142" s="628">
        <f>3*0.7*0.51</f>
        <v>1.0709999999999997</v>
      </c>
      <c r="I142" s="628">
        <f>3*0.7*0.51</f>
        <v>1.0709999999999997</v>
      </c>
      <c r="J142" s="176"/>
      <c r="K142" s="266">
        <f>3*0.7*0.51</f>
        <v>1.0709999999999997</v>
      </c>
      <c r="L142" s="419"/>
      <c r="M142" s="419"/>
      <c r="R142" s="178"/>
      <c r="T142" s="142"/>
      <c r="V142" s="386"/>
    </row>
    <row r="143" spans="2:20" ht="27" customHeight="1" outlineLevel="1">
      <c r="B143" s="5"/>
      <c r="C143" s="261"/>
      <c r="D143" s="261" t="s">
        <v>64</v>
      </c>
      <c r="E143" s="262">
        <v>162751117</v>
      </c>
      <c r="F143" s="625" t="s">
        <v>196</v>
      </c>
      <c r="G143" s="625"/>
      <c r="H143" s="625"/>
      <c r="I143" s="625"/>
      <c r="J143" s="174" t="s">
        <v>66</v>
      </c>
      <c r="K143" s="264">
        <f>SUM(K144:K144)</f>
        <v>31.202039999999997</v>
      </c>
      <c r="L143" s="626"/>
      <c r="M143" s="626"/>
      <c r="N143" s="619">
        <f>ROUND(L143*K143,2)</f>
        <v>0</v>
      </c>
      <c r="O143" s="619"/>
      <c r="P143" s="619"/>
      <c r="Q143" s="619"/>
      <c r="R143" s="6"/>
      <c r="T143" s="142"/>
    </row>
    <row r="144" spans="2:22" s="177" customFormat="1" ht="22.5" outlineLevel="1">
      <c r="B144" s="175"/>
      <c r="E144" s="319" t="s">
        <v>211</v>
      </c>
      <c r="F144" s="627" t="s">
        <v>194</v>
      </c>
      <c r="G144" s="628"/>
      <c r="H144" s="628"/>
      <c r="I144" s="628"/>
      <c r="J144" s="176"/>
      <c r="K144" s="266">
        <f>K135+K138+K141-K152</f>
        <v>31.202039999999997</v>
      </c>
      <c r="L144" s="419"/>
      <c r="M144" s="419"/>
      <c r="R144" s="178"/>
      <c r="T144" s="142"/>
      <c r="V144" s="386"/>
    </row>
    <row r="145" spans="2:20" ht="27" customHeight="1" outlineLevel="1">
      <c r="B145" s="5"/>
      <c r="C145" s="261"/>
      <c r="D145" s="261" t="s">
        <v>64</v>
      </c>
      <c r="E145" s="262">
        <v>162751119</v>
      </c>
      <c r="F145" s="625" t="s">
        <v>202</v>
      </c>
      <c r="G145" s="625"/>
      <c r="H145" s="625"/>
      <c r="I145" s="625"/>
      <c r="J145" s="174" t="s">
        <v>66</v>
      </c>
      <c r="K145" s="264">
        <f>SUM(K146:K146)</f>
        <v>312.0204</v>
      </c>
      <c r="L145" s="626"/>
      <c r="M145" s="626"/>
      <c r="N145" s="619">
        <f>ROUND(L145*K145,2)</f>
        <v>0</v>
      </c>
      <c r="O145" s="619"/>
      <c r="P145" s="619"/>
      <c r="Q145" s="619"/>
      <c r="R145" s="6"/>
      <c r="T145" s="142"/>
    </row>
    <row r="146" spans="2:22" s="177" customFormat="1" ht="22.5" customHeight="1" outlineLevel="1">
      <c r="B146" s="175"/>
      <c r="E146" s="319" t="s">
        <v>197</v>
      </c>
      <c r="F146" s="627" t="s">
        <v>2284</v>
      </c>
      <c r="G146" s="628"/>
      <c r="H146" s="628"/>
      <c r="I146" s="628"/>
      <c r="J146" s="176">
        <v>10</v>
      </c>
      <c r="K146" s="266">
        <f>K143*J146</f>
        <v>312.0204</v>
      </c>
      <c r="L146" s="419"/>
      <c r="M146" s="419"/>
      <c r="R146" s="178"/>
      <c r="T146" s="142"/>
      <c r="V146" s="386"/>
    </row>
    <row r="147" spans="2:20" ht="13.5" outlineLevel="1">
      <c r="B147" s="5"/>
      <c r="C147" s="261"/>
      <c r="D147" s="261" t="s">
        <v>64</v>
      </c>
      <c r="E147" s="262">
        <v>167151111</v>
      </c>
      <c r="F147" s="625" t="s">
        <v>201</v>
      </c>
      <c r="G147" s="625"/>
      <c r="H147" s="625"/>
      <c r="I147" s="625"/>
      <c r="J147" s="174" t="s">
        <v>66</v>
      </c>
      <c r="K147" s="264">
        <f>SUM(K148:K148)</f>
        <v>31.202039999999997</v>
      </c>
      <c r="L147" s="626"/>
      <c r="M147" s="626"/>
      <c r="N147" s="619">
        <f>ROUND(L147*K147,2)</f>
        <v>0</v>
      </c>
      <c r="O147" s="619"/>
      <c r="P147" s="619"/>
      <c r="Q147" s="619"/>
      <c r="R147" s="6"/>
      <c r="T147" s="142"/>
    </row>
    <row r="148" spans="2:22" s="177" customFormat="1" ht="22.5" outlineLevel="1">
      <c r="B148" s="175"/>
      <c r="E148" s="319" t="s">
        <v>195</v>
      </c>
      <c r="F148" s="627" t="s">
        <v>244</v>
      </c>
      <c r="G148" s="628"/>
      <c r="H148" s="628"/>
      <c r="I148" s="628"/>
      <c r="J148" s="176"/>
      <c r="K148" s="266">
        <f>K143</f>
        <v>31.202039999999997</v>
      </c>
      <c r="L148" s="419"/>
      <c r="M148" s="419"/>
      <c r="R148" s="178"/>
      <c r="T148" s="142"/>
      <c r="V148" s="386"/>
    </row>
    <row r="149" spans="2:20" ht="13.5" outlineLevel="1">
      <c r="B149" s="5"/>
      <c r="C149" s="261"/>
      <c r="D149" s="261" t="s">
        <v>64</v>
      </c>
      <c r="E149" s="262">
        <v>171251201</v>
      </c>
      <c r="F149" s="625" t="s">
        <v>112</v>
      </c>
      <c r="G149" s="625"/>
      <c r="H149" s="625"/>
      <c r="I149" s="625"/>
      <c r="J149" s="174" t="s">
        <v>66</v>
      </c>
      <c r="K149" s="264">
        <f>K147</f>
        <v>31.202039999999997</v>
      </c>
      <c r="L149" s="626"/>
      <c r="M149" s="626"/>
      <c r="N149" s="619">
        <f>ROUND(L149*K149,2)</f>
        <v>0</v>
      </c>
      <c r="O149" s="619"/>
      <c r="P149" s="619"/>
      <c r="Q149" s="619"/>
      <c r="R149" s="6"/>
      <c r="T149" s="142"/>
    </row>
    <row r="150" spans="2:20" ht="27" customHeight="1" outlineLevel="1">
      <c r="B150" s="5"/>
      <c r="C150" s="261"/>
      <c r="D150" s="261" t="s">
        <v>64</v>
      </c>
      <c r="E150" s="262">
        <v>171201231</v>
      </c>
      <c r="F150" s="625" t="s">
        <v>200</v>
      </c>
      <c r="G150" s="625"/>
      <c r="H150" s="625"/>
      <c r="I150" s="625"/>
      <c r="J150" s="174" t="s">
        <v>68</v>
      </c>
      <c r="K150" s="264">
        <f>SUM(K151:K151)</f>
        <v>49.923263999999996</v>
      </c>
      <c r="L150" s="626"/>
      <c r="M150" s="626"/>
      <c r="N150" s="619">
        <f>ROUND(L150*K150,2)</f>
        <v>0</v>
      </c>
      <c r="O150" s="619"/>
      <c r="P150" s="619"/>
      <c r="Q150" s="619"/>
      <c r="R150" s="6"/>
      <c r="T150" s="142"/>
    </row>
    <row r="151" spans="2:22" s="177" customFormat="1" ht="22.5" outlineLevel="1">
      <c r="B151" s="175"/>
      <c r="E151" s="319" t="s">
        <v>198</v>
      </c>
      <c r="F151" s="627" t="s">
        <v>199</v>
      </c>
      <c r="G151" s="628"/>
      <c r="H151" s="628"/>
      <c r="I151" s="628"/>
      <c r="J151" s="176">
        <v>1.6</v>
      </c>
      <c r="K151" s="266">
        <f>K143*J151</f>
        <v>49.923263999999996</v>
      </c>
      <c r="L151" s="419"/>
      <c r="M151" s="419"/>
      <c r="R151" s="178"/>
      <c r="T151" s="142"/>
      <c r="V151" s="386"/>
    </row>
    <row r="152" spans="2:20" ht="13.5" outlineLevel="1">
      <c r="B152" s="5"/>
      <c r="C152" s="261"/>
      <c r="D152" s="261" t="s">
        <v>64</v>
      </c>
      <c r="E152" s="262" t="s">
        <v>111</v>
      </c>
      <c r="F152" s="625" t="s">
        <v>99</v>
      </c>
      <c r="G152" s="625"/>
      <c r="H152" s="625"/>
      <c r="I152" s="625"/>
      <c r="J152" s="174" t="s">
        <v>66</v>
      </c>
      <c r="K152" s="264">
        <f>SUM(K153:K154)</f>
        <v>51.809152499999996</v>
      </c>
      <c r="L152" s="626"/>
      <c r="M152" s="626"/>
      <c r="N152" s="619">
        <f>ROUND(L152*K152,2)</f>
        <v>0</v>
      </c>
      <c r="O152" s="619"/>
      <c r="P152" s="619"/>
      <c r="Q152" s="619"/>
      <c r="R152" s="6"/>
      <c r="T152" s="142"/>
    </row>
    <row r="153" spans="2:22" s="177" customFormat="1" ht="13.5" outlineLevel="1">
      <c r="B153" s="175"/>
      <c r="E153" s="319" t="s">
        <v>871</v>
      </c>
      <c r="F153" s="627" t="s">
        <v>194</v>
      </c>
      <c r="G153" s="628">
        <f>G134-(12.2+24.1+4.285)*0.023</f>
        <v>-0.9334549999999998</v>
      </c>
      <c r="H153" s="628">
        <f>H134-(12.2+24.1+4.285)*0.023</f>
        <v>-0.9334549999999998</v>
      </c>
      <c r="I153" s="628">
        <f>I134-(12.2+24.1+4.285)*0.023</f>
        <v>-0.9334549999999998</v>
      </c>
      <c r="J153" s="176"/>
      <c r="K153" s="266">
        <f>K135+K138+K141</f>
        <v>83.01119249999999</v>
      </c>
      <c r="L153" s="419"/>
      <c r="M153" s="419"/>
      <c r="R153" s="178"/>
      <c r="T153" s="142"/>
      <c r="V153" s="386"/>
    </row>
    <row r="154" spans="2:22" s="177" customFormat="1" ht="13.5" outlineLevel="1">
      <c r="B154" s="175"/>
      <c r="E154" s="319" t="s">
        <v>872</v>
      </c>
      <c r="F154" s="627" t="s">
        <v>874</v>
      </c>
      <c r="G154" s="628">
        <f>((2*1+13.755*(0.6))*(1.41+0.15)+(2.92)*(2.8)*(1.71+0.15))*-1</f>
        <v>-31.202039999999997</v>
      </c>
      <c r="H154" s="628">
        <f>((2*1+13.755*(0.6))*(1.41+0.15)+(2.92)*(2.8)*(1.71+0.15))*-1</f>
        <v>-31.202039999999997</v>
      </c>
      <c r="I154" s="628">
        <f>((2*1+13.755*(0.6))*(1.41+0.15)+(2.92)*(2.8)*(1.71+0.15))*-1</f>
        <v>-31.202039999999997</v>
      </c>
      <c r="J154" s="176"/>
      <c r="K154" s="266">
        <f>((2*1+13.755*(0.6))*(1.41+0.15)+(2.92)*(2.8)*(1.71+0.15))*-1</f>
        <v>-31.202039999999997</v>
      </c>
      <c r="L154" s="419"/>
      <c r="M154" s="419"/>
      <c r="R154" s="178"/>
      <c r="T154" s="142"/>
      <c r="V154" s="386"/>
    </row>
    <row r="155" spans="2:25" s="143" customFormat="1" ht="12.75">
      <c r="B155" s="139"/>
      <c r="C155" s="140"/>
      <c r="D155" s="140" t="s">
        <v>47</v>
      </c>
      <c r="E155" s="140"/>
      <c r="F155" s="140"/>
      <c r="G155" s="140"/>
      <c r="H155" s="140"/>
      <c r="I155" s="140"/>
      <c r="J155" s="172"/>
      <c r="K155" s="140"/>
      <c r="L155" s="186"/>
      <c r="M155" s="186"/>
      <c r="N155" s="633">
        <f>SUM(N156:Q190)</f>
        <v>0</v>
      </c>
      <c r="O155" s="633"/>
      <c r="P155" s="633"/>
      <c r="Q155" s="633"/>
      <c r="R155" s="141"/>
      <c r="T155" s="173">
        <f>SUM(N155:Q190)/2</f>
        <v>0</v>
      </c>
      <c r="U155" s="195"/>
      <c r="V155" s="385"/>
      <c r="W155" s="265"/>
      <c r="X155" s="265"/>
      <c r="Y155" s="265"/>
    </row>
    <row r="156" spans="2:20" ht="27" customHeight="1" outlineLevel="1">
      <c r="B156" s="5"/>
      <c r="C156" s="261"/>
      <c r="D156" s="261" t="s">
        <v>64</v>
      </c>
      <c r="E156" s="262">
        <v>271532212</v>
      </c>
      <c r="F156" s="625" t="s">
        <v>879</v>
      </c>
      <c r="G156" s="625"/>
      <c r="H156" s="625"/>
      <c r="I156" s="625"/>
      <c r="J156" s="174" t="s">
        <v>66</v>
      </c>
      <c r="K156" s="264">
        <f>SUM(K157:K157)</f>
        <v>6.20487</v>
      </c>
      <c r="L156" s="626"/>
      <c r="M156" s="626"/>
      <c r="N156" s="619">
        <f>ROUND(L156*K156,2)</f>
        <v>0</v>
      </c>
      <c r="O156" s="619"/>
      <c r="P156" s="619"/>
      <c r="Q156" s="619"/>
      <c r="R156" s="6"/>
      <c r="T156" s="142"/>
    </row>
    <row r="157" spans="2:22" s="177" customFormat="1" ht="22.5" outlineLevel="1">
      <c r="B157" s="175"/>
      <c r="E157" s="319" t="s">
        <v>880</v>
      </c>
      <c r="F157" s="627" t="s">
        <v>881</v>
      </c>
      <c r="G157" s="628" t="e">
        <f>(17.64*(1.38+0.6)+2.205*2.92)*F157</f>
        <v>#VALUE!</v>
      </c>
      <c r="H157" s="628" t="e">
        <f>(17.64*(1.38+0.6)+2.205*2.92)*G157</f>
        <v>#VALUE!</v>
      </c>
      <c r="I157" s="628" t="e">
        <f>(17.64*(1.38+0.6)+2.205*2.92)*H157</f>
        <v>#VALUE!</v>
      </c>
      <c r="J157" s="176">
        <v>0.15</v>
      </c>
      <c r="K157" s="266">
        <f>(17.64*(1.38+0.6)+2.205*2.92)*J157</f>
        <v>6.20487</v>
      </c>
      <c r="L157" s="419"/>
      <c r="M157" s="419"/>
      <c r="R157" s="178"/>
      <c r="T157" s="142"/>
      <c r="V157" s="386"/>
    </row>
    <row r="158" spans="2:20" ht="13.5" outlineLevel="1">
      <c r="B158" s="5"/>
      <c r="C158" s="261"/>
      <c r="D158" s="261" t="s">
        <v>64</v>
      </c>
      <c r="E158" s="262" t="s">
        <v>890</v>
      </c>
      <c r="F158" s="625" t="s">
        <v>891</v>
      </c>
      <c r="G158" s="625"/>
      <c r="H158" s="625"/>
      <c r="I158" s="625"/>
      <c r="J158" s="174" t="s">
        <v>66</v>
      </c>
      <c r="K158" s="264">
        <f>SUM(K159:K159)</f>
        <v>0.6875</v>
      </c>
      <c r="L158" s="626"/>
      <c r="M158" s="626"/>
      <c r="N158" s="619">
        <f>ROUND(L158*K158,2)</f>
        <v>0</v>
      </c>
      <c r="O158" s="619"/>
      <c r="P158" s="619"/>
      <c r="Q158" s="619"/>
      <c r="R158" s="6"/>
      <c r="T158" s="142"/>
    </row>
    <row r="159" spans="2:22" s="177" customFormat="1" ht="13.5" outlineLevel="1">
      <c r="B159" s="175"/>
      <c r="E159" s="319" t="s">
        <v>889</v>
      </c>
      <c r="F159" s="627" t="s">
        <v>892</v>
      </c>
      <c r="G159" s="628">
        <f>2.5*2.75*0.1</f>
        <v>0.6875</v>
      </c>
      <c r="H159" s="628">
        <f>2.5*2.75*0.1</f>
        <v>0.6875</v>
      </c>
      <c r="I159" s="628">
        <f>2.5*2.75*0.1</f>
        <v>0.6875</v>
      </c>
      <c r="J159" s="176"/>
      <c r="K159" s="266">
        <f>2.5*2.75*0.1</f>
        <v>0.6875</v>
      </c>
      <c r="L159" s="419"/>
      <c r="M159" s="419"/>
      <c r="R159" s="178"/>
      <c r="T159" s="142"/>
      <c r="V159" s="386"/>
    </row>
    <row r="160" spans="2:20" ht="13.5" outlineLevel="1">
      <c r="B160" s="5"/>
      <c r="C160" s="261"/>
      <c r="D160" s="261" t="s">
        <v>64</v>
      </c>
      <c r="E160" s="262">
        <v>274313811</v>
      </c>
      <c r="F160" s="625" t="s">
        <v>882</v>
      </c>
      <c r="G160" s="625"/>
      <c r="H160" s="625"/>
      <c r="I160" s="625"/>
      <c r="J160" s="174" t="s">
        <v>66</v>
      </c>
      <c r="K160" s="264">
        <f>SUM(K161:K162)</f>
        <v>3.160395</v>
      </c>
      <c r="L160" s="626"/>
      <c r="M160" s="626"/>
      <c r="N160" s="619">
        <f>ROUND(L160*K160,2)</f>
        <v>0</v>
      </c>
      <c r="O160" s="619"/>
      <c r="P160" s="619"/>
      <c r="Q160" s="619"/>
      <c r="R160" s="6"/>
      <c r="T160" s="142"/>
    </row>
    <row r="161" spans="2:22" s="177" customFormat="1" ht="13.5" outlineLevel="1">
      <c r="B161" s="175"/>
      <c r="E161" s="319" t="s">
        <v>883</v>
      </c>
      <c r="F161" s="627" t="s">
        <v>885</v>
      </c>
      <c r="G161" s="628">
        <f>1*(1.38+0.6)*0.7</f>
        <v>1.386</v>
      </c>
      <c r="H161" s="628">
        <f>1*(1.38+0.6)*0.7</f>
        <v>1.386</v>
      </c>
      <c r="I161" s="628">
        <f>1*(1.38+0.6)*0.7</f>
        <v>1.386</v>
      </c>
      <c r="J161" s="176"/>
      <c r="K161" s="266">
        <f>1*(1.38+0.6)*0.7</f>
        <v>1.386</v>
      </c>
      <c r="L161" s="419"/>
      <c r="M161" s="419"/>
      <c r="R161" s="178"/>
      <c r="T161" s="142"/>
      <c r="V161" s="386"/>
    </row>
    <row r="162" spans="2:22" s="177" customFormat="1" ht="13.5" outlineLevel="1">
      <c r="B162" s="175"/>
      <c r="E162" s="319" t="s">
        <v>884</v>
      </c>
      <c r="F162" s="627" t="s">
        <v>886</v>
      </c>
      <c r="G162" s="628">
        <f>13.755*0.6*0.215</f>
        <v>1.774395</v>
      </c>
      <c r="H162" s="628">
        <f>13.755*0.6*0.215</f>
        <v>1.774395</v>
      </c>
      <c r="I162" s="628">
        <f>13.755*0.6*0.215</f>
        <v>1.774395</v>
      </c>
      <c r="J162" s="176"/>
      <c r="K162" s="266">
        <f>13.755*0.6*0.215</f>
        <v>1.774395</v>
      </c>
      <c r="L162" s="419"/>
      <c r="M162" s="419"/>
      <c r="R162" s="178"/>
      <c r="T162" s="142"/>
      <c r="V162" s="386"/>
    </row>
    <row r="163" spans="2:20" ht="13.5" outlineLevel="1">
      <c r="B163" s="5"/>
      <c r="C163" s="261"/>
      <c r="D163" s="261" t="s">
        <v>64</v>
      </c>
      <c r="E163" s="262">
        <v>273321411</v>
      </c>
      <c r="F163" s="625" t="s">
        <v>916</v>
      </c>
      <c r="G163" s="625"/>
      <c r="H163" s="625"/>
      <c r="I163" s="625"/>
      <c r="J163" s="174" t="s">
        <v>66</v>
      </c>
      <c r="K163" s="264">
        <f>SUM(K164:K164)</f>
        <v>3.9574624999999997</v>
      </c>
      <c r="L163" s="626"/>
      <c r="M163" s="626"/>
      <c r="N163" s="619">
        <f>ROUND(L163*K163,2)</f>
        <v>0</v>
      </c>
      <c r="O163" s="619"/>
      <c r="P163" s="619"/>
      <c r="Q163" s="619"/>
      <c r="R163" s="6"/>
      <c r="T163" s="142"/>
    </row>
    <row r="164" spans="2:22" s="177" customFormat="1" ht="22.5" outlineLevel="1">
      <c r="B164" s="175"/>
      <c r="E164" s="319" t="s">
        <v>887</v>
      </c>
      <c r="F164" s="627" t="s">
        <v>888</v>
      </c>
      <c r="G164" s="628">
        <f>(17.64-0.1)*(1.38+0.6-0.175)*0.125</f>
        <v>3.9574624999999997</v>
      </c>
      <c r="H164" s="628">
        <f>(17.64-0.1)*(1.38+0.6-0.175)*0.125</f>
        <v>3.9574624999999997</v>
      </c>
      <c r="I164" s="628">
        <f>(17.64-0.1)*(1.38+0.6-0.175)*0.125</f>
        <v>3.9574624999999997</v>
      </c>
      <c r="J164" s="176"/>
      <c r="K164" s="266">
        <f>(17.64-0.1)*(1.38+0.6-0.175)*0.125</f>
        <v>3.9574624999999997</v>
      </c>
      <c r="L164" s="419"/>
      <c r="M164" s="419"/>
      <c r="R164" s="178"/>
      <c r="T164" s="142"/>
      <c r="V164" s="386"/>
    </row>
    <row r="165" spans="2:20" ht="13.5" outlineLevel="1">
      <c r="B165" s="5"/>
      <c r="C165" s="261"/>
      <c r="D165" s="261" t="s">
        <v>64</v>
      </c>
      <c r="E165" s="262">
        <v>273323611</v>
      </c>
      <c r="F165" s="625" t="s">
        <v>2343</v>
      </c>
      <c r="G165" s="625"/>
      <c r="H165" s="625"/>
      <c r="I165" s="625"/>
      <c r="J165" s="174" t="s">
        <v>66</v>
      </c>
      <c r="K165" s="264">
        <f>SUM(K166:K166)</f>
        <v>1.375</v>
      </c>
      <c r="L165" s="626"/>
      <c r="M165" s="626"/>
      <c r="N165" s="619">
        <f>ROUND(L165*K165,2)</f>
        <v>0</v>
      </c>
      <c r="O165" s="619"/>
      <c r="P165" s="619"/>
      <c r="Q165" s="619"/>
      <c r="R165" s="6"/>
      <c r="T165" s="142"/>
    </row>
    <row r="166" spans="2:22" s="177" customFormat="1" ht="13.5" outlineLevel="1">
      <c r="B166" s="175"/>
      <c r="E166" s="319" t="s">
        <v>889</v>
      </c>
      <c r="F166" s="627" t="s">
        <v>893</v>
      </c>
      <c r="G166" s="628">
        <f>2.5*2.75*0.2</f>
        <v>1.375</v>
      </c>
      <c r="H166" s="628">
        <f>2.5*2.75*0.2</f>
        <v>1.375</v>
      </c>
      <c r="I166" s="628">
        <f>2.5*2.75*0.2</f>
        <v>1.375</v>
      </c>
      <c r="J166" s="176"/>
      <c r="K166" s="266">
        <f>2.5*2.75*0.2</f>
        <v>1.375</v>
      </c>
      <c r="L166" s="419"/>
      <c r="M166" s="419"/>
      <c r="R166" s="178"/>
      <c r="T166" s="142"/>
      <c r="V166" s="386"/>
    </row>
    <row r="167" spans="2:20" ht="13.5" outlineLevel="1">
      <c r="B167" s="5"/>
      <c r="C167" s="261"/>
      <c r="D167" s="261" t="s">
        <v>64</v>
      </c>
      <c r="E167" s="262">
        <v>273351121</v>
      </c>
      <c r="F167" s="625" t="s">
        <v>894</v>
      </c>
      <c r="G167" s="625"/>
      <c r="H167" s="625"/>
      <c r="I167" s="625"/>
      <c r="J167" s="174" t="s">
        <v>65</v>
      </c>
      <c r="K167" s="264">
        <f>SUM(K168:K169)</f>
        <v>5.568125</v>
      </c>
      <c r="L167" s="626"/>
      <c r="M167" s="626"/>
      <c r="N167" s="619">
        <f>ROUND(L167*K167,2)</f>
        <v>0</v>
      </c>
      <c r="O167" s="619"/>
      <c r="P167" s="619"/>
      <c r="Q167" s="619"/>
      <c r="R167" s="6"/>
      <c r="T167" s="142"/>
    </row>
    <row r="168" spans="2:22" s="177" customFormat="1" ht="22.5" outlineLevel="1">
      <c r="B168" s="175"/>
      <c r="E168" s="319" t="s">
        <v>887</v>
      </c>
      <c r="F168" s="627" t="s">
        <v>897</v>
      </c>
      <c r="G168" s="628">
        <f>((17.64-0.1)+(1.38+0.6-0.175))*0.125</f>
        <v>2.418125</v>
      </c>
      <c r="H168" s="628">
        <f>((17.64-0.1)+(1.38+0.6-0.175))*0.125</f>
        <v>2.418125</v>
      </c>
      <c r="I168" s="628">
        <f>((17.64-0.1)+(1.38+0.6-0.175))*0.125</f>
        <v>2.418125</v>
      </c>
      <c r="J168" s="176"/>
      <c r="K168" s="266">
        <f>((17.64-0.1)+(1.38+0.6-0.175))*0.125</f>
        <v>2.418125</v>
      </c>
      <c r="L168" s="419"/>
      <c r="M168" s="419"/>
      <c r="R168" s="178"/>
      <c r="T168" s="142"/>
      <c r="V168" s="386"/>
    </row>
    <row r="169" spans="2:22" s="177" customFormat="1" ht="13.5" outlineLevel="1">
      <c r="B169" s="175"/>
      <c r="E169" s="319" t="s">
        <v>889</v>
      </c>
      <c r="F169" s="627" t="s">
        <v>898</v>
      </c>
      <c r="G169" s="628">
        <f>2.5*2.75*0.2</f>
        <v>1.375</v>
      </c>
      <c r="H169" s="628">
        <f>2.5*2.75*0.2</f>
        <v>1.375</v>
      </c>
      <c r="I169" s="628">
        <f>2.5*2.75*0.2</f>
        <v>1.375</v>
      </c>
      <c r="J169" s="176"/>
      <c r="K169" s="266">
        <f>(2.5+2.75)*2*0.3</f>
        <v>3.15</v>
      </c>
      <c r="L169" s="419"/>
      <c r="M169" s="419"/>
      <c r="R169" s="178"/>
      <c r="T169" s="142"/>
      <c r="V169" s="386"/>
    </row>
    <row r="170" spans="2:20" ht="13.5" outlineLevel="1">
      <c r="B170" s="5"/>
      <c r="C170" s="261"/>
      <c r="D170" s="261" t="s">
        <v>64</v>
      </c>
      <c r="E170" s="262" t="s">
        <v>895</v>
      </c>
      <c r="F170" s="625" t="s">
        <v>896</v>
      </c>
      <c r="G170" s="625"/>
      <c r="H170" s="625"/>
      <c r="I170" s="625"/>
      <c r="J170" s="174" t="s">
        <v>65</v>
      </c>
      <c r="K170" s="264">
        <f>K167</f>
        <v>5.568125</v>
      </c>
      <c r="L170" s="626"/>
      <c r="M170" s="626"/>
      <c r="N170" s="619">
        <f>ROUND(L170*K170,2)</f>
        <v>0</v>
      </c>
      <c r="O170" s="619"/>
      <c r="P170" s="619"/>
      <c r="Q170" s="619"/>
      <c r="R170" s="6"/>
      <c r="T170" s="142"/>
    </row>
    <row r="171" spans="2:20" ht="13.5" outlineLevel="1">
      <c r="B171" s="5"/>
      <c r="C171" s="261"/>
      <c r="D171" s="261" t="s">
        <v>64</v>
      </c>
      <c r="E171" s="262">
        <v>273361821</v>
      </c>
      <c r="F171" s="625" t="s">
        <v>899</v>
      </c>
      <c r="G171" s="625"/>
      <c r="H171" s="625"/>
      <c r="I171" s="625"/>
      <c r="J171" s="174" t="s">
        <v>68</v>
      </c>
      <c r="K171" s="264">
        <f>SUM(K172:K172)</f>
        <v>0.24062499999999998</v>
      </c>
      <c r="L171" s="626"/>
      <c r="M171" s="626"/>
      <c r="N171" s="619">
        <f>ROUND(L171*K171,2)</f>
        <v>0</v>
      </c>
      <c r="O171" s="619"/>
      <c r="P171" s="619"/>
      <c r="Q171" s="619"/>
      <c r="R171" s="6"/>
      <c r="T171" s="142"/>
    </row>
    <row r="172" spans="2:22" s="177" customFormat="1" ht="13.5" outlineLevel="1">
      <c r="B172" s="175"/>
      <c r="E172" s="319" t="s">
        <v>447</v>
      </c>
      <c r="F172" s="627" t="s">
        <v>194</v>
      </c>
      <c r="G172" s="628"/>
      <c r="H172" s="628"/>
      <c r="I172" s="628"/>
      <c r="J172" s="176">
        <v>0.175</v>
      </c>
      <c r="K172" s="266">
        <f>K165*J172</f>
        <v>0.24062499999999998</v>
      </c>
      <c r="L172" s="419"/>
      <c r="M172" s="419"/>
      <c r="R172" s="178"/>
      <c r="T172" s="142"/>
      <c r="V172" s="386"/>
    </row>
    <row r="173" spans="2:20" ht="13.5" outlineLevel="1">
      <c r="B173" s="5"/>
      <c r="C173" s="261"/>
      <c r="D173" s="261" t="s">
        <v>64</v>
      </c>
      <c r="E173" s="262" t="s">
        <v>900</v>
      </c>
      <c r="F173" s="625" t="s">
        <v>901</v>
      </c>
      <c r="G173" s="625"/>
      <c r="H173" s="625"/>
      <c r="I173" s="625"/>
      <c r="J173" s="174" t="s">
        <v>68</v>
      </c>
      <c r="K173" s="264">
        <f>SUM(K174:K174)</f>
        <v>0.15196655999999997</v>
      </c>
      <c r="L173" s="626"/>
      <c r="M173" s="626"/>
      <c r="N173" s="619">
        <f>ROUND(L173*K173,2)</f>
        <v>0</v>
      </c>
      <c r="O173" s="619"/>
      <c r="P173" s="619"/>
      <c r="Q173" s="619"/>
      <c r="R173" s="6"/>
      <c r="T173" s="142"/>
    </row>
    <row r="174" spans="2:22" s="177" customFormat="1" ht="22.5" outlineLevel="1">
      <c r="B174" s="175"/>
      <c r="E174" s="319" t="s">
        <v>918</v>
      </c>
      <c r="F174" s="627" t="s">
        <v>194</v>
      </c>
      <c r="G174" s="628">
        <f>1.2*0.5*0.6</f>
        <v>0.36</v>
      </c>
      <c r="H174" s="628">
        <f>1.2*0.5*0.6</f>
        <v>0.36</v>
      </c>
      <c r="I174" s="628">
        <f>1.2*0.5*0.6</f>
        <v>0.36</v>
      </c>
      <c r="J174" s="176">
        <f>4*1.2/1000</f>
        <v>0.0048</v>
      </c>
      <c r="K174" s="266">
        <f>K163/0.125*J174</f>
        <v>0.15196655999999997</v>
      </c>
      <c r="L174" s="419"/>
      <c r="M174" s="419"/>
      <c r="R174" s="178"/>
      <c r="T174" s="142"/>
      <c r="V174" s="386"/>
    </row>
    <row r="175" spans="2:20" ht="27" customHeight="1" outlineLevel="1">
      <c r="B175" s="5"/>
      <c r="C175" s="261"/>
      <c r="D175" s="261" t="s">
        <v>64</v>
      </c>
      <c r="E175" s="262">
        <v>279113143</v>
      </c>
      <c r="F175" s="625" t="s">
        <v>917</v>
      </c>
      <c r="G175" s="625"/>
      <c r="H175" s="625"/>
      <c r="I175" s="625"/>
      <c r="J175" s="174" t="s">
        <v>65</v>
      </c>
      <c r="K175" s="264">
        <f>SUM(K176:K176)</f>
        <v>10.31625</v>
      </c>
      <c r="L175" s="626"/>
      <c r="M175" s="626"/>
      <c r="N175" s="619">
        <f>ROUND(L175*K175,2)</f>
        <v>0</v>
      </c>
      <c r="O175" s="619"/>
      <c r="P175" s="619"/>
      <c r="Q175" s="619"/>
      <c r="R175" s="6"/>
      <c r="T175" s="142"/>
    </row>
    <row r="176" spans="2:22" s="177" customFormat="1" ht="13.5" outlineLevel="1">
      <c r="B176" s="175"/>
      <c r="E176" s="319" t="s">
        <v>902</v>
      </c>
      <c r="F176" s="627" t="s">
        <v>903</v>
      </c>
      <c r="G176" s="628">
        <f>13.755*0.75</f>
        <v>10.31625</v>
      </c>
      <c r="H176" s="628">
        <f>13.755*0.75</f>
        <v>10.31625</v>
      </c>
      <c r="I176" s="628">
        <f>13.755*0.75</f>
        <v>10.31625</v>
      </c>
      <c r="J176" s="176"/>
      <c r="K176" s="266">
        <f>13.755*0.75</f>
        <v>10.31625</v>
      </c>
      <c r="L176" s="419"/>
      <c r="M176" s="419"/>
      <c r="R176" s="178"/>
      <c r="T176" s="142"/>
      <c r="V176" s="386"/>
    </row>
    <row r="177" spans="2:20" ht="13.5" outlineLevel="1">
      <c r="B177" s="5"/>
      <c r="C177" s="261"/>
      <c r="D177" s="261" t="s">
        <v>64</v>
      </c>
      <c r="E177" s="262">
        <v>279323112</v>
      </c>
      <c r="F177" s="625" t="s">
        <v>2344</v>
      </c>
      <c r="G177" s="625"/>
      <c r="H177" s="625"/>
      <c r="I177" s="625"/>
      <c r="J177" s="174" t="s">
        <v>66</v>
      </c>
      <c r="K177" s="264">
        <f>SUM(K178:K178)</f>
        <v>3.4650000000000003</v>
      </c>
      <c r="L177" s="626"/>
      <c r="M177" s="626"/>
      <c r="N177" s="619">
        <f>ROUND(L177*K177,2)</f>
        <v>0</v>
      </c>
      <c r="O177" s="619"/>
      <c r="P177" s="619"/>
      <c r="Q177" s="619"/>
      <c r="R177" s="6"/>
      <c r="T177" s="142"/>
    </row>
    <row r="178" spans="2:22" s="177" customFormat="1" ht="13.5" outlineLevel="1">
      <c r="B178" s="175"/>
      <c r="E178" s="319" t="s">
        <v>904</v>
      </c>
      <c r="F178" s="627" t="s">
        <v>905</v>
      </c>
      <c r="G178" s="628" t="e">
        <f aca="true" t="shared" si="1" ref="G178:I180">(2.5+2.75)*2*1.1*F178</f>
        <v>#VALUE!</v>
      </c>
      <c r="H178" s="628" t="e">
        <f t="shared" si="1"/>
        <v>#VALUE!</v>
      </c>
      <c r="I178" s="628" t="e">
        <f t="shared" si="1"/>
        <v>#VALUE!</v>
      </c>
      <c r="J178" s="176">
        <v>0.3</v>
      </c>
      <c r="K178" s="266">
        <f>(2.5+2.75)*2*1.1*J178</f>
        <v>3.4650000000000003</v>
      </c>
      <c r="L178" s="419"/>
      <c r="M178" s="419"/>
      <c r="R178" s="178"/>
      <c r="T178" s="142"/>
      <c r="V178" s="386"/>
    </row>
    <row r="179" spans="2:20" ht="13.5" outlineLevel="1">
      <c r="B179" s="5"/>
      <c r="C179" s="261"/>
      <c r="D179" s="261" t="s">
        <v>64</v>
      </c>
      <c r="E179" s="262">
        <v>279351121</v>
      </c>
      <c r="F179" s="625" t="s">
        <v>906</v>
      </c>
      <c r="G179" s="625"/>
      <c r="H179" s="625"/>
      <c r="I179" s="625"/>
      <c r="J179" s="174" t="s">
        <v>65</v>
      </c>
      <c r="K179" s="264">
        <f>SUM(K180:K180)</f>
        <v>23.1</v>
      </c>
      <c r="L179" s="626"/>
      <c r="M179" s="626"/>
      <c r="N179" s="619">
        <f>ROUND(L179*K179,2)</f>
        <v>0</v>
      </c>
      <c r="O179" s="619"/>
      <c r="P179" s="619"/>
      <c r="Q179" s="619"/>
      <c r="R179" s="6"/>
      <c r="T179" s="142"/>
    </row>
    <row r="180" spans="2:22" s="177" customFormat="1" ht="22.5" customHeight="1" outlineLevel="1">
      <c r="B180" s="175"/>
      <c r="E180" s="319" t="s">
        <v>904</v>
      </c>
      <c r="F180" s="627" t="s">
        <v>907</v>
      </c>
      <c r="G180" s="628" t="e">
        <f t="shared" si="1"/>
        <v>#VALUE!</v>
      </c>
      <c r="H180" s="628" t="e">
        <f t="shared" si="1"/>
        <v>#VALUE!</v>
      </c>
      <c r="I180" s="628" t="e">
        <f t="shared" si="1"/>
        <v>#VALUE!</v>
      </c>
      <c r="J180" s="176"/>
      <c r="K180" s="266">
        <f>(2.5+2.75)*2*1.1*2</f>
        <v>23.1</v>
      </c>
      <c r="L180" s="419"/>
      <c r="M180" s="419"/>
      <c r="R180" s="178"/>
      <c r="T180" s="142"/>
      <c r="V180" s="386"/>
    </row>
    <row r="181" spans="2:20" ht="13.5" outlineLevel="1">
      <c r="B181" s="5"/>
      <c r="C181" s="261"/>
      <c r="D181" s="261" t="s">
        <v>64</v>
      </c>
      <c r="E181" s="262" t="s">
        <v>908</v>
      </c>
      <c r="F181" s="625" t="s">
        <v>909</v>
      </c>
      <c r="G181" s="625"/>
      <c r="H181" s="625"/>
      <c r="I181" s="625"/>
      <c r="J181" s="174" t="s">
        <v>65</v>
      </c>
      <c r="K181" s="264">
        <f>K179</f>
        <v>23.1</v>
      </c>
      <c r="L181" s="626"/>
      <c r="M181" s="626"/>
      <c r="N181" s="619">
        <f>ROUND(L181*K181,2)</f>
        <v>0</v>
      </c>
      <c r="O181" s="619"/>
      <c r="P181" s="619"/>
      <c r="Q181" s="619"/>
      <c r="R181" s="6"/>
      <c r="T181" s="142"/>
    </row>
    <row r="182" spans="2:20" ht="13.5" outlineLevel="1">
      <c r="B182" s="5"/>
      <c r="C182" s="261"/>
      <c r="D182" s="261" t="s">
        <v>64</v>
      </c>
      <c r="E182" s="262">
        <v>279361821</v>
      </c>
      <c r="F182" s="625" t="s">
        <v>910</v>
      </c>
      <c r="G182" s="625"/>
      <c r="H182" s="625"/>
      <c r="I182" s="625"/>
      <c r="J182" s="174" t="s">
        <v>68</v>
      </c>
      <c r="K182" s="264">
        <f>SUM(K183:K184)</f>
        <v>1.2088125</v>
      </c>
      <c r="L182" s="626"/>
      <c r="M182" s="626"/>
      <c r="N182" s="619">
        <f>ROUND(L182*K182,2)</f>
        <v>0</v>
      </c>
      <c r="O182" s="619"/>
      <c r="P182" s="619"/>
      <c r="Q182" s="619"/>
      <c r="R182" s="6"/>
      <c r="T182" s="142"/>
    </row>
    <row r="183" spans="2:22" s="177" customFormat="1" ht="13.5" outlineLevel="1">
      <c r="B183" s="175"/>
      <c r="E183" s="319" t="s">
        <v>912</v>
      </c>
      <c r="F183" s="627" t="s">
        <v>194</v>
      </c>
      <c r="G183" s="628"/>
      <c r="H183" s="628"/>
      <c r="I183" s="628"/>
      <c r="J183" s="176">
        <v>0.05</v>
      </c>
      <c r="K183" s="266">
        <f>K175*J183</f>
        <v>0.5158125</v>
      </c>
      <c r="L183" s="419"/>
      <c r="M183" s="419"/>
      <c r="R183" s="178"/>
      <c r="T183" s="142"/>
      <c r="V183" s="386"/>
    </row>
    <row r="184" spans="2:22" s="177" customFormat="1" ht="22.5" outlineLevel="1">
      <c r="B184" s="175"/>
      <c r="E184" s="319" t="s">
        <v>913</v>
      </c>
      <c r="F184" s="627" t="s">
        <v>194</v>
      </c>
      <c r="G184" s="628"/>
      <c r="H184" s="628"/>
      <c r="I184" s="628"/>
      <c r="J184" s="176">
        <v>0.2</v>
      </c>
      <c r="K184" s="266">
        <f>K178*J184</f>
        <v>0.6930000000000001</v>
      </c>
      <c r="L184" s="419"/>
      <c r="M184" s="419"/>
      <c r="R184" s="178"/>
      <c r="T184" s="142"/>
      <c r="V184" s="386"/>
    </row>
    <row r="185" spans="2:20" ht="27" customHeight="1" outlineLevel="1">
      <c r="B185" s="5"/>
      <c r="C185" s="261"/>
      <c r="D185" s="261" t="s">
        <v>64</v>
      </c>
      <c r="E185" s="262">
        <v>953334315</v>
      </c>
      <c r="F185" s="625" t="s">
        <v>911</v>
      </c>
      <c r="G185" s="625"/>
      <c r="H185" s="625"/>
      <c r="I185" s="625"/>
      <c r="J185" s="174" t="s">
        <v>70</v>
      </c>
      <c r="K185" s="264">
        <f>SUM(K186:K186)</f>
        <v>10.5</v>
      </c>
      <c r="L185" s="626"/>
      <c r="M185" s="626"/>
      <c r="N185" s="619">
        <f>ROUND(L185*K185,2)</f>
        <v>0</v>
      </c>
      <c r="O185" s="619"/>
      <c r="P185" s="619"/>
      <c r="Q185" s="619"/>
      <c r="R185" s="6"/>
      <c r="T185" s="142"/>
    </row>
    <row r="186" spans="2:22" s="177" customFormat="1" ht="22.5" outlineLevel="1">
      <c r="B186" s="175"/>
      <c r="E186" s="319" t="s">
        <v>914</v>
      </c>
      <c r="F186" s="627" t="s">
        <v>915</v>
      </c>
      <c r="G186" s="628">
        <f aca="true" t="shared" si="2" ref="G186:I188">(2.5+2.75)*2</f>
        <v>10.5</v>
      </c>
      <c r="H186" s="628">
        <f t="shared" si="2"/>
        <v>10.5</v>
      </c>
      <c r="I186" s="628">
        <f t="shared" si="2"/>
        <v>10.5</v>
      </c>
      <c r="J186" s="176"/>
      <c r="K186" s="266">
        <f>(2.5+2.75)*2</f>
        <v>10.5</v>
      </c>
      <c r="L186" s="419"/>
      <c r="M186" s="419"/>
      <c r="R186" s="178"/>
      <c r="T186" s="142"/>
      <c r="V186" s="386"/>
    </row>
    <row r="187" spans="2:20" ht="27" customHeight="1" outlineLevel="1">
      <c r="B187" s="5"/>
      <c r="C187" s="261"/>
      <c r="D187" s="261" t="s">
        <v>64</v>
      </c>
      <c r="E187" s="262">
        <v>953945122</v>
      </c>
      <c r="F187" s="625" t="s">
        <v>919</v>
      </c>
      <c r="G187" s="625"/>
      <c r="H187" s="625"/>
      <c r="I187" s="625"/>
      <c r="J187" s="174" t="s">
        <v>69</v>
      </c>
      <c r="K187" s="264">
        <f>SUM(K188:K188)</f>
        <v>12</v>
      </c>
      <c r="L187" s="626"/>
      <c r="M187" s="626"/>
      <c r="N187" s="619">
        <f>ROUND(L187*K187,2)</f>
        <v>0</v>
      </c>
      <c r="O187" s="619"/>
      <c r="P187" s="619"/>
      <c r="Q187" s="619"/>
      <c r="R187" s="6"/>
      <c r="T187" s="142"/>
    </row>
    <row r="188" spans="2:22" s="177" customFormat="1" ht="22.5" outlineLevel="1">
      <c r="B188" s="175"/>
      <c r="E188" s="319" t="s">
        <v>920</v>
      </c>
      <c r="F188" s="627" t="s">
        <v>921</v>
      </c>
      <c r="G188" s="628">
        <f t="shared" si="2"/>
        <v>10.5</v>
      </c>
      <c r="H188" s="628">
        <f t="shared" si="2"/>
        <v>10.5</v>
      </c>
      <c r="I188" s="628">
        <f t="shared" si="2"/>
        <v>10.5</v>
      </c>
      <c r="J188" s="176"/>
      <c r="K188" s="266">
        <f>3*4</f>
        <v>12</v>
      </c>
      <c r="L188" s="419"/>
      <c r="M188" s="419"/>
      <c r="R188" s="178"/>
      <c r="T188" s="142"/>
      <c r="V188" s="386"/>
    </row>
    <row r="189" spans="2:20" ht="13.5" outlineLevel="1">
      <c r="B189" s="5"/>
      <c r="C189" s="261"/>
      <c r="D189" s="261" t="s">
        <v>64</v>
      </c>
      <c r="E189" s="262">
        <v>279311116</v>
      </c>
      <c r="F189" s="625" t="s">
        <v>397</v>
      </c>
      <c r="G189" s="625"/>
      <c r="H189" s="625"/>
      <c r="I189" s="625"/>
      <c r="J189" s="174" t="s">
        <v>66</v>
      </c>
      <c r="K189" s="264">
        <f>SUM(K190:K190)</f>
        <v>1.0709999999999997</v>
      </c>
      <c r="L189" s="626"/>
      <c r="M189" s="626"/>
      <c r="N189" s="619">
        <f>ROUND(L189*K189,2)</f>
        <v>0</v>
      </c>
      <c r="O189" s="619"/>
      <c r="P189" s="619"/>
      <c r="Q189" s="619"/>
      <c r="R189" s="6"/>
      <c r="T189" s="142"/>
    </row>
    <row r="190" spans="2:22" s="177" customFormat="1" ht="13.5" outlineLevel="1">
      <c r="B190" s="175"/>
      <c r="E190" s="319" t="s">
        <v>398</v>
      </c>
      <c r="F190" s="627" t="s">
        <v>194</v>
      </c>
      <c r="G190" s="628">
        <f>1.2*0.5*0.6</f>
        <v>0.36</v>
      </c>
      <c r="H190" s="628">
        <f>1.2*0.5*0.6</f>
        <v>0.36</v>
      </c>
      <c r="I190" s="628">
        <f>1.2*0.5*0.6</f>
        <v>0.36</v>
      </c>
      <c r="J190" s="176"/>
      <c r="K190" s="266">
        <f>K142</f>
        <v>1.0709999999999997</v>
      </c>
      <c r="L190" s="419"/>
      <c r="M190" s="419"/>
      <c r="R190" s="178"/>
      <c r="T190" s="142"/>
      <c r="V190" s="386"/>
    </row>
    <row r="191" spans="2:25" s="143" customFormat="1" ht="12.75">
      <c r="B191" s="139"/>
      <c r="C191" s="140"/>
      <c r="D191" s="140" t="s">
        <v>48</v>
      </c>
      <c r="E191" s="140"/>
      <c r="F191" s="140"/>
      <c r="G191" s="140"/>
      <c r="H191" s="140"/>
      <c r="I191" s="140"/>
      <c r="J191" s="172"/>
      <c r="K191" s="140"/>
      <c r="L191" s="186"/>
      <c r="M191" s="186"/>
      <c r="N191" s="633">
        <f>SUM(N192:Q235)</f>
        <v>0</v>
      </c>
      <c r="O191" s="633"/>
      <c r="P191" s="633"/>
      <c r="Q191" s="633"/>
      <c r="R191" s="141"/>
      <c r="T191" s="173">
        <f>SUM(N191:Q235)/2</f>
        <v>0</v>
      </c>
      <c r="U191" s="195"/>
      <c r="V191" s="385"/>
      <c r="W191" s="265"/>
      <c r="X191" s="265"/>
      <c r="Y191" s="265"/>
    </row>
    <row r="192" spans="2:20" ht="27" customHeight="1" outlineLevel="1">
      <c r="B192" s="5"/>
      <c r="C192" s="261"/>
      <c r="D192" s="261" t="s">
        <v>64</v>
      </c>
      <c r="E192" s="262">
        <v>311236151</v>
      </c>
      <c r="F192" s="625" t="s">
        <v>930</v>
      </c>
      <c r="G192" s="625"/>
      <c r="H192" s="625"/>
      <c r="I192" s="625"/>
      <c r="J192" s="174" t="s">
        <v>65</v>
      </c>
      <c r="K192" s="264">
        <f>SUM(K193:K195)</f>
        <v>31.1643</v>
      </c>
      <c r="L192" s="626"/>
      <c r="M192" s="626"/>
      <c r="N192" s="619">
        <f>ROUND(L192*K192,2)</f>
        <v>0</v>
      </c>
      <c r="O192" s="619"/>
      <c r="P192" s="619"/>
      <c r="Q192" s="619"/>
      <c r="R192" s="6"/>
      <c r="T192" s="142"/>
    </row>
    <row r="193" spans="2:22" s="177" customFormat="1" ht="13.5" outlineLevel="1">
      <c r="B193" s="175"/>
      <c r="E193" s="319" t="s">
        <v>84</v>
      </c>
      <c r="F193" s="627" t="s">
        <v>932</v>
      </c>
      <c r="G193" s="628">
        <f>0.8*2+1.08*2.2</f>
        <v>3.9760000000000004</v>
      </c>
      <c r="H193" s="628">
        <f>0.8*2+1.08*2.2</f>
        <v>3.9760000000000004</v>
      </c>
      <c r="I193" s="628">
        <f>0.8*2+1.08*2.2</f>
        <v>3.9760000000000004</v>
      </c>
      <c r="J193" s="176"/>
      <c r="K193" s="266">
        <f>0.8*2+1.08*2.2</f>
        <v>3.9760000000000004</v>
      </c>
      <c r="L193" s="419"/>
      <c r="M193" s="419"/>
      <c r="R193" s="178"/>
      <c r="T193" s="142"/>
      <c r="V193" s="386"/>
    </row>
    <row r="194" spans="2:22" s="177" customFormat="1" ht="13.5" outlineLevel="1">
      <c r="B194" s="175"/>
      <c r="E194" s="319" t="s">
        <v>85</v>
      </c>
      <c r="F194" s="627" t="s">
        <v>959</v>
      </c>
      <c r="G194" s="628">
        <f>1.3*2.8+0.8*2+0.95*1.9+1.06*3.38</f>
        <v>10.6278</v>
      </c>
      <c r="H194" s="628">
        <f>1.3*2.8+0.8*2+0.95*1.9+1.06*3.38</f>
        <v>10.6278</v>
      </c>
      <c r="I194" s="628">
        <f>1.3*2.8+0.8*2+0.95*1.9+1.06*3.38</f>
        <v>10.6278</v>
      </c>
      <c r="J194" s="176"/>
      <c r="K194" s="266">
        <f>1.3*2.8+0.8*2+0.95*1.9+1.06*3.38+0.55*1.11</f>
        <v>11.2383</v>
      </c>
      <c r="L194" s="419"/>
      <c r="M194" s="419"/>
      <c r="R194" s="178"/>
      <c r="T194" s="142"/>
      <c r="V194" s="386"/>
    </row>
    <row r="195" spans="2:22" s="177" customFormat="1" ht="13.5" outlineLevel="1">
      <c r="B195" s="175"/>
      <c r="E195" s="319" t="s">
        <v>931</v>
      </c>
      <c r="F195" s="627" t="s">
        <v>933</v>
      </c>
      <c r="G195" s="628">
        <f>(2.1+0.65)*2*2.9</f>
        <v>15.95</v>
      </c>
      <c r="H195" s="628">
        <f>(2.1+0.65)*2*2.9</f>
        <v>15.95</v>
      </c>
      <c r="I195" s="628">
        <f>(2.1+0.65)*2*2.9</f>
        <v>15.95</v>
      </c>
      <c r="J195" s="176"/>
      <c r="K195" s="266">
        <f>(2.1+0.65)*2*2.9</f>
        <v>15.95</v>
      </c>
      <c r="L195" s="419"/>
      <c r="M195" s="419"/>
      <c r="R195" s="178"/>
      <c r="T195" s="142"/>
      <c r="V195" s="386"/>
    </row>
    <row r="196" spans="2:20" ht="27" customHeight="1" outlineLevel="1">
      <c r="B196" s="5"/>
      <c r="C196" s="261"/>
      <c r="D196" s="261" t="s">
        <v>71</v>
      </c>
      <c r="E196" s="262" t="s">
        <v>1965</v>
      </c>
      <c r="F196" s="625" t="s">
        <v>1966</v>
      </c>
      <c r="G196" s="625"/>
      <c r="H196" s="625"/>
      <c r="I196" s="625"/>
      <c r="J196" s="174" t="s">
        <v>65</v>
      </c>
      <c r="K196" s="264">
        <f>SUM(K197:K201)</f>
        <v>170.81085000000002</v>
      </c>
      <c r="L196" s="626"/>
      <c r="M196" s="626"/>
      <c r="N196" s="619">
        <f>ROUND(L196*K196,2)</f>
        <v>0</v>
      </c>
      <c r="O196" s="619"/>
      <c r="P196" s="619"/>
      <c r="Q196" s="619"/>
      <c r="R196" s="6"/>
      <c r="T196" s="142"/>
    </row>
    <row r="197" spans="2:22" s="177" customFormat="1" ht="38.25" customHeight="1" outlineLevel="1">
      <c r="B197" s="175"/>
      <c r="E197" s="319" t="s">
        <v>84</v>
      </c>
      <c r="F197" s="627" t="s">
        <v>2036</v>
      </c>
      <c r="G197" s="628">
        <f>7.4*4.2/2+(0.9+6.23)*4.2+(2.25+2.75+1.1+0.72+0.7)*3.5+1.085*1.75+1.1*2.28</f>
        <v>76.21275000000001</v>
      </c>
      <c r="H197" s="628">
        <f>7.4*4.2/2+(0.9+6.23)*4.2+(2.25+2.75+1.1+0.72+0.7)*3.5+1.085*1.75+1.1*2.28</f>
        <v>76.21275000000001</v>
      </c>
      <c r="I197" s="628">
        <f>7.4*4.2/2+(0.9+6.23)*4.2+(2.25+2.75+1.1+0.72+0.7)*3.5+1.085*1.75+1.1*2.28</f>
        <v>76.21275000000001</v>
      </c>
      <c r="J197" s="176"/>
      <c r="K197" s="266">
        <f>7.4*4.2/2+(0.9+6.23)*4.2+(2.25+2.75+1.1+0.72+0.7+2.75+0.68)*3.5+1.085*1.75+1.1*2.28</f>
        <v>88.21775000000001</v>
      </c>
      <c r="L197" s="419"/>
      <c r="M197" s="419"/>
      <c r="R197" s="178"/>
      <c r="T197" s="142"/>
      <c r="V197" s="386"/>
    </row>
    <row r="198" spans="2:22" s="177" customFormat="1" ht="13.5" outlineLevel="1">
      <c r="B198" s="175"/>
      <c r="E198" s="319" t="s">
        <v>85</v>
      </c>
      <c r="F198" s="627" t="s">
        <v>935</v>
      </c>
      <c r="G198" s="628">
        <f>1.87*2.76+2.5*2+(2.55+2.75)*2*3.75+1.17*2.1</f>
        <v>52.3682</v>
      </c>
      <c r="H198" s="628">
        <f>1.87*2.76+2.5*2+(2.55+2.75)*2*3.75+1.17*2.1</f>
        <v>52.3682</v>
      </c>
      <c r="I198" s="628">
        <f>1.87*2.76+2.5*2+(2.55+2.75)*2*3.75+1.17*2.1</f>
        <v>52.3682</v>
      </c>
      <c r="J198" s="176"/>
      <c r="K198" s="266">
        <f>1.87*2.76+2.5*2+(2.55+2.75)*2*3.75+1.17*2.1</f>
        <v>52.3682</v>
      </c>
      <c r="L198" s="419"/>
      <c r="M198" s="419"/>
      <c r="R198" s="178"/>
      <c r="T198" s="142"/>
      <c r="V198" s="386"/>
    </row>
    <row r="199" spans="2:22" s="177" customFormat="1" ht="13.5" outlineLevel="1">
      <c r="B199" s="175"/>
      <c r="E199" s="319" t="s">
        <v>85</v>
      </c>
      <c r="F199" s="627" t="s">
        <v>936</v>
      </c>
      <c r="G199" s="628">
        <f aca="true" t="shared" si="3" ref="G199:I200">(2.55+2.75)*2*4.25+2.57*2.33</f>
        <v>51.0381</v>
      </c>
      <c r="H199" s="628">
        <f t="shared" si="3"/>
        <v>51.0381</v>
      </c>
      <c r="I199" s="628">
        <f t="shared" si="3"/>
        <v>51.0381</v>
      </c>
      <c r="J199" s="176"/>
      <c r="K199" s="266">
        <f>(2.55+2.75)*2*4.25+2.57*2.33</f>
        <v>51.0381</v>
      </c>
      <c r="L199" s="419"/>
      <c r="M199" s="419"/>
      <c r="R199" s="178"/>
      <c r="T199" s="142"/>
      <c r="V199" s="386"/>
    </row>
    <row r="200" spans="2:22" s="177" customFormat="1" ht="13.5" outlineLevel="1">
      <c r="B200" s="175"/>
      <c r="E200" s="319" t="s">
        <v>931</v>
      </c>
      <c r="F200" s="627" t="s">
        <v>2049</v>
      </c>
      <c r="G200" s="628">
        <f t="shared" si="3"/>
        <v>51.0381</v>
      </c>
      <c r="H200" s="628">
        <f t="shared" si="3"/>
        <v>51.0381</v>
      </c>
      <c r="I200" s="628">
        <f t="shared" si="3"/>
        <v>51.0381</v>
      </c>
      <c r="J200" s="176"/>
      <c r="K200" s="266">
        <f>(1.06*2.33)*2</f>
        <v>4.9396</v>
      </c>
      <c r="L200" s="419"/>
      <c r="M200" s="419"/>
      <c r="R200" s="178"/>
      <c r="T200" s="142"/>
      <c r="V200" s="386"/>
    </row>
    <row r="201" spans="2:22" s="177" customFormat="1" ht="22.5" outlineLevel="1">
      <c r="B201" s="175"/>
      <c r="E201" s="319" t="s">
        <v>934</v>
      </c>
      <c r="F201" s="627" t="s">
        <v>937</v>
      </c>
      <c r="G201" s="628" t="e">
        <f>(6.23*3+1.1*2.18+1*1.37+1.1+2.18*2+1.1*2.15+1.06*1.8)*F201</f>
        <v>#VALUE!</v>
      </c>
      <c r="H201" s="628" t="e">
        <f>(6.23*3+1.1*2.18+1*1.37+1.1+2.18*2+1.1*2.15+1.06*1.8)*G201</f>
        <v>#VALUE!</v>
      </c>
      <c r="I201" s="628" t="e">
        <f>(6.23*3+1.1*2.18+1*1.37+1.1+2.18*2+1.1*2.15+1.06*1.8)*H201</f>
        <v>#VALUE!</v>
      </c>
      <c r="J201" s="314">
        <v>-0.8</v>
      </c>
      <c r="K201" s="266">
        <f>(6.23*3+1.1*2.18+1*1.37+1.1+2.18*2+1.1*2.15+1.06*1.8)*J201</f>
        <v>-25.752800000000004</v>
      </c>
      <c r="L201" s="419"/>
      <c r="M201" s="419"/>
      <c r="R201" s="178"/>
      <c r="T201" s="142"/>
      <c r="V201" s="386"/>
    </row>
    <row r="202" spans="2:20" ht="13.5" outlineLevel="1">
      <c r="B202" s="5"/>
      <c r="C202" s="261"/>
      <c r="D202" s="261" t="s">
        <v>64</v>
      </c>
      <c r="E202" s="262">
        <v>310238211</v>
      </c>
      <c r="F202" s="625" t="s">
        <v>938</v>
      </c>
      <c r="G202" s="625"/>
      <c r="H202" s="625"/>
      <c r="I202" s="625"/>
      <c r="J202" s="174" t="s">
        <v>65</v>
      </c>
      <c r="K202" s="264">
        <f>SUM(K203:K203)</f>
        <v>0.3</v>
      </c>
      <c r="L202" s="626"/>
      <c r="M202" s="626"/>
      <c r="N202" s="619">
        <f>ROUND(L202*K202,2)</f>
        <v>0</v>
      </c>
      <c r="O202" s="619"/>
      <c r="P202" s="619"/>
      <c r="Q202" s="619"/>
      <c r="R202" s="6"/>
      <c r="T202" s="142"/>
    </row>
    <row r="203" spans="2:22" s="177" customFormat="1" ht="13.5" outlineLevel="1">
      <c r="B203" s="175"/>
      <c r="E203" s="319" t="s">
        <v>84</v>
      </c>
      <c r="F203" s="627"/>
      <c r="G203" s="628"/>
      <c r="H203" s="628"/>
      <c r="I203" s="628"/>
      <c r="J203" s="176"/>
      <c r="K203" s="266">
        <f>0.25*0.25*2*2.4</f>
        <v>0.3</v>
      </c>
      <c r="L203" s="419"/>
      <c r="M203" s="419"/>
      <c r="R203" s="178"/>
      <c r="T203" s="142"/>
      <c r="V203" s="386"/>
    </row>
    <row r="204" spans="2:20" ht="13.5" outlineLevel="1">
      <c r="B204" s="5"/>
      <c r="C204" s="261"/>
      <c r="D204" s="261" t="s">
        <v>64</v>
      </c>
      <c r="E204" s="262">
        <v>317168052</v>
      </c>
      <c r="F204" s="625" t="s">
        <v>939</v>
      </c>
      <c r="G204" s="625"/>
      <c r="H204" s="625"/>
      <c r="I204" s="625"/>
      <c r="J204" s="174" t="s">
        <v>69</v>
      </c>
      <c r="K204" s="264">
        <f>SUM(K205:K205)</f>
        <v>3</v>
      </c>
      <c r="L204" s="626"/>
      <c r="M204" s="626"/>
      <c r="N204" s="619">
        <f>ROUND(L204*K204,2)</f>
        <v>0</v>
      </c>
      <c r="O204" s="619"/>
      <c r="P204" s="619"/>
      <c r="Q204" s="619"/>
      <c r="R204" s="6"/>
      <c r="T204" s="142"/>
    </row>
    <row r="205" spans="2:22" s="177" customFormat="1" ht="13.5" outlineLevel="1">
      <c r="B205" s="175"/>
      <c r="E205" s="319" t="s">
        <v>85</v>
      </c>
      <c r="F205" s="627" t="s">
        <v>468</v>
      </c>
      <c r="G205" s="628" t="e">
        <f>1.7*2*F205</f>
        <v>#VALUE!</v>
      </c>
      <c r="H205" s="628" t="e">
        <f>1.7*2*G205</f>
        <v>#VALUE!</v>
      </c>
      <c r="I205" s="628" t="e">
        <f>1.7*2*H205</f>
        <v>#VALUE!</v>
      </c>
      <c r="J205" s="176"/>
      <c r="K205" s="266">
        <f>3*1</f>
        <v>3</v>
      </c>
      <c r="L205" s="419"/>
      <c r="M205" s="419"/>
      <c r="R205" s="178"/>
      <c r="T205" s="142"/>
      <c r="V205" s="386"/>
    </row>
    <row r="206" spans="2:20" ht="13.5" outlineLevel="1">
      <c r="B206" s="5"/>
      <c r="C206" s="261"/>
      <c r="D206" s="261" t="s">
        <v>64</v>
      </c>
      <c r="E206" s="262">
        <v>317168053</v>
      </c>
      <c r="F206" s="625" t="s">
        <v>940</v>
      </c>
      <c r="G206" s="625"/>
      <c r="H206" s="625"/>
      <c r="I206" s="625"/>
      <c r="J206" s="174" t="s">
        <v>69</v>
      </c>
      <c r="K206" s="264">
        <f>SUM(K207:K208)</f>
        <v>6</v>
      </c>
      <c r="L206" s="626"/>
      <c r="M206" s="626"/>
      <c r="N206" s="619">
        <f>ROUND(L206*K206,2)</f>
        <v>0</v>
      </c>
      <c r="O206" s="619"/>
      <c r="P206" s="619"/>
      <c r="Q206" s="619"/>
      <c r="R206" s="6"/>
      <c r="T206" s="142"/>
    </row>
    <row r="207" spans="2:22" s="177" customFormat="1" ht="13.5" outlineLevel="1">
      <c r="B207" s="175"/>
      <c r="E207" s="319" t="s">
        <v>84</v>
      </c>
      <c r="F207" s="627"/>
      <c r="G207" s="628"/>
      <c r="H207" s="628"/>
      <c r="I207" s="628"/>
      <c r="J207" s="176"/>
      <c r="K207" s="266">
        <f>2*1</f>
        <v>2</v>
      </c>
      <c r="L207" s="419"/>
      <c r="M207" s="419"/>
      <c r="R207" s="178"/>
      <c r="T207" s="142"/>
      <c r="V207" s="386"/>
    </row>
    <row r="208" spans="2:22" s="177" customFormat="1" ht="13.5" outlineLevel="1">
      <c r="B208" s="175"/>
      <c r="E208" s="319" t="s">
        <v>85</v>
      </c>
      <c r="F208" s="627"/>
      <c r="G208" s="628"/>
      <c r="H208" s="628"/>
      <c r="I208" s="628"/>
      <c r="J208" s="176"/>
      <c r="K208" s="266">
        <f>2*1*2</f>
        <v>4</v>
      </c>
      <c r="L208" s="419"/>
      <c r="M208" s="419"/>
      <c r="R208" s="178"/>
      <c r="T208" s="142"/>
      <c r="V208" s="386"/>
    </row>
    <row r="209" spans="2:20" ht="13.5" outlineLevel="1">
      <c r="B209" s="5"/>
      <c r="C209" s="261"/>
      <c r="D209" s="261" t="s">
        <v>64</v>
      </c>
      <c r="E209" s="262" t="s">
        <v>951</v>
      </c>
      <c r="F209" s="625" t="s">
        <v>952</v>
      </c>
      <c r="G209" s="625"/>
      <c r="H209" s="625"/>
      <c r="I209" s="625"/>
      <c r="J209" s="174" t="s">
        <v>69</v>
      </c>
      <c r="K209" s="264">
        <f>SUM(K210:K211)</f>
        <v>11</v>
      </c>
      <c r="L209" s="626"/>
      <c r="M209" s="626"/>
      <c r="N209" s="619">
        <f>ROUND(L209*K209,2)</f>
        <v>0</v>
      </c>
      <c r="O209" s="619"/>
      <c r="P209" s="619"/>
      <c r="Q209" s="619"/>
      <c r="R209" s="6"/>
      <c r="T209" s="142"/>
    </row>
    <row r="210" spans="2:22" s="177" customFormat="1" ht="13.5" outlineLevel="1">
      <c r="B210" s="175"/>
      <c r="E210" s="319" t="s">
        <v>84</v>
      </c>
      <c r="F210" s="627"/>
      <c r="G210" s="628"/>
      <c r="H210" s="628"/>
      <c r="I210" s="628"/>
      <c r="J210" s="176"/>
      <c r="K210" s="266">
        <v>4</v>
      </c>
      <c r="L210" s="419"/>
      <c r="M210" s="419"/>
      <c r="R210" s="178"/>
      <c r="T210" s="142"/>
      <c r="V210" s="386"/>
    </row>
    <row r="211" spans="2:22" s="177" customFormat="1" ht="13.5" outlineLevel="1">
      <c r="B211" s="175"/>
      <c r="E211" s="319" t="s">
        <v>85</v>
      </c>
      <c r="F211" s="627"/>
      <c r="G211" s="628"/>
      <c r="H211" s="628"/>
      <c r="I211" s="628"/>
      <c r="J211" s="176"/>
      <c r="K211" s="266">
        <v>7</v>
      </c>
      <c r="L211" s="419"/>
      <c r="M211" s="419"/>
      <c r="R211" s="178"/>
      <c r="T211" s="142"/>
      <c r="V211" s="386"/>
    </row>
    <row r="212" spans="2:20" ht="13.5" outlineLevel="1">
      <c r="B212" s="5"/>
      <c r="C212" s="261"/>
      <c r="D212" s="261" t="s">
        <v>64</v>
      </c>
      <c r="E212" s="262">
        <v>317168021</v>
      </c>
      <c r="F212" s="625" t="s">
        <v>953</v>
      </c>
      <c r="G212" s="625"/>
      <c r="H212" s="625"/>
      <c r="I212" s="625"/>
      <c r="J212" s="174" t="s">
        <v>69</v>
      </c>
      <c r="K212" s="264">
        <f>SUM(K213:K213)</f>
        <v>1</v>
      </c>
      <c r="L212" s="626"/>
      <c r="M212" s="626"/>
      <c r="N212" s="619">
        <f>ROUND(L212*K212,2)</f>
        <v>0</v>
      </c>
      <c r="O212" s="619"/>
      <c r="P212" s="619"/>
      <c r="Q212" s="619"/>
      <c r="R212" s="6"/>
      <c r="T212" s="142"/>
    </row>
    <row r="213" spans="2:22" s="177" customFormat="1" ht="13.5" outlineLevel="1">
      <c r="B213" s="175"/>
      <c r="E213" s="319" t="s">
        <v>85</v>
      </c>
      <c r="F213" s="627"/>
      <c r="G213" s="628"/>
      <c r="H213" s="628"/>
      <c r="I213" s="628"/>
      <c r="J213" s="176"/>
      <c r="K213" s="266">
        <v>1</v>
      </c>
      <c r="L213" s="419"/>
      <c r="M213" s="419"/>
      <c r="R213" s="178"/>
      <c r="T213" s="142"/>
      <c r="V213" s="386"/>
    </row>
    <row r="214" spans="2:20" ht="13.5" outlineLevel="1">
      <c r="B214" s="5"/>
      <c r="C214" s="261"/>
      <c r="D214" s="261" t="s">
        <v>64</v>
      </c>
      <c r="E214" s="262">
        <v>317168022</v>
      </c>
      <c r="F214" s="625" t="s">
        <v>954</v>
      </c>
      <c r="G214" s="625"/>
      <c r="H214" s="625"/>
      <c r="I214" s="625"/>
      <c r="J214" s="174" t="s">
        <v>69</v>
      </c>
      <c r="K214" s="264">
        <f>SUM(K215:K216)</f>
        <v>4</v>
      </c>
      <c r="L214" s="626"/>
      <c r="M214" s="626"/>
      <c r="N214" s="619">
        <f>ROUND(L214*K214,2)</f>
        <v>0</v>
      </c>
      <c r="O214" s="619"/>
      <c r="P214" s="619"/>
      <c r="Q214" s="619"/>
      <c r="R214" s="6"/>
      <c r="T214" s="142"/>
    </row>
    <row r="215" spans="2:22" s="177" customFormat="1" ht="13.5" outlineLevel="1">
      <c r="B215" s="175"/>
      <c r="E215" s="319" t="s">
        <v>84</v>
      </c>
      <c r="F215" s="627"/>
      <c r="G215" s="628"/>
      <c r="H215" s="628"/>
      <c r="I215" s="628"/>
      <c r="J215" s="176"/>
      <c r="K215" s="266">
        <v>3</v>
      </c>
      <c r="L215" s="419"/>
      <c r="M215" s="419"/>
      <c r="R215" s="178"/>
      <c r="T215" s="142"/>
      <c r="V215" s="386"/>
    </row>
    <row r="216" spans="2:22" s="177" customFormat="1" ht="13.5" outlineLevel="1">
      <c r="B216" s="175"/>
      <c r="E216" s="319" t="s">
        <v>85</v>
      </c>
      <c r="F216" s="627"/>
      <c r="G216" s="628"/>
      <c r="H216" s="628"/>
      <c r="I216" s="628"/>
      <c r="J216" s="176"/>
      <c r="K216" s="266">
        <v>1</v>
      </c>
      <c r="L216" s="419"/>
      <c r="M216" s="419"/>
      <c r="R216" s="178"/>
      <c r="T216" s="142"/>
      <c r="V216" s="386"/>
    </row>
    <row r="217" spans="2:20" ht="13.5" outlineLevel="1">
      <c r="B217" s="5"/>
      <c r="C217" s="261"/>
      <c r="D217" s="261" t="s">
        <v>64</v>
      </c>
      <c r="E217" s="262">
        <v>317944321</v>
      </c>
      <c r="F217" s="625" t="s">
        <v>402</v>
      </c>
      <c r="G217" s="625"/>
      <c r="H217" s="625"/>
      <c r="I217" s="625"/>
      <c r="J217" s="174" t="s">
        <v>68</v>
      </c>
      <c r="K217" s="264">
        <f>SUM(K218:K218)</f>
        <v>0.020017</v>
      </c>
      <c r="L217" s="626"/>
      <c r="M217" s="626"/>
      <c r="N217" s="619">
        <f>ROUND(L217*K217,2)</f>
        <v>0</v>
      </c>
      <c r="O217" s="619"/>
      <c r="P217" s="619"/>
      <c r="Q217" s="619"/>
      <c r="R217" s="6"/>
      <c r="T217" s="142"/>
    </row>
    <row r="218" spans="2:22" s="177" customFormat="1" ht="13.5" outlineLevel="1">
      <c r="B218" s="175"/>
      <c r="E218" s="319" t="s">
        <v>85</v>
      </c>
      <c r="F218" s="627" t="s">
        <v>957</v>
      </c>
      <c r="G218" s="628" t="e">
        <f>1.7*2*F218</f>
        <v>#VALUE!</v>
      </c>
      <c r="H218" s="628" t="e">
        <f>1.7*2*G218</f>
        <v>#VALUE!</v>
      </c>
      <c r="I218" s="628" t="e">
        <f>1.7*2*H218</f>
        <v>#VALUE!</v>
      </c>
      <c r="J218" s="176">
        <f>5.41/1000</f>
        <v>0.00541</v>
      </c>
      <c r="K218" s="266">
        <f>1.85*2*J218</f>
        <v>0.020017</v>
      </c>
      <c r="L218" s="419"/>
      <c r="M218" s="419"/>
      <c r="R218" s="178"/>
      <c r="T218" s="142"/>
      <c r="V218" s="386"/>
    </row>
    <row r="219" spans="2:20" ht="13.5" outlineLevel="1">
      <c r="B219" s="5"/>
      <c r="C219" s="261"/>
      <c r="D219" s="261" t="s">
        <v>64</v>
      </c>
      <c r="E219" s="262">
        <v>317944323</v>
      </c>
      <c r="F219" s="625" t="s">
        <v>401</v>
      </c>
      <c r="G219" s="625"/>
      <c r="H219" s="625"/>
      <c r="I219" s="625"/>
      <c r="J219" s="174" t="s">
        <v>68</v>
      </c>
      <c r="K219" s="264">
        <f>SUM(K220:K221)</f>
        <v>1.774938</v>
      </c>
      <c r="L219" s="626"/>
      <c r="M219" s="626"/>
      <c r="N219" s="619">
        <f>ROUND(L219*K219,2)</f>
        <v>0</v>
      </c>
      <c r="O219" s="619"/>
      <c r="P219" s="619"/>
      <c r="Q219" s="619"/>
      <c r="R219" s="6"/>
      <c r="T219" s="142"/>
    </row>
    <row r="220" spans="2:22" s="177" customFormat="1" ht="13.5" outlineLevel="1">
      <c r="B220" s="175"/>
      <c r="E220" s="319" t="s">
        <v>84</v>
      </c>
      <c r="F220" s="627" t="s">
        <v>2040</v>
      </c>
      <c r="G220" s="628"/>
      <c r="H220" s="628"/>
      <c r="I220" s="628"/>
      <c r="J220" s="176"/>
      <c r="K220" s="266">
        <f>((3*1.9)*10.6+(2.8*3*15.8+(2.15*2+2.8*3+2.28*2+2.4*2)*18.8+(2*2*3.5+2.5+3)*22.4))/1000</f>
        <v>1.044668</v>
      </c>
      <c r="L220" s="419"/>
      <c r="M220" s="419"/>
      <c r="R220" s="178"/>
      <c r="T220" s="142"/>
      <c r="V220" s="386"/>
    </row>
    <row r="221" spans="2:22" s="177" customFormat="1" ht="13.5" outlineLevel="1">
      <c r="B221" s="175"/>
      <c r="E221" s="319" t="s">
        <v>85</v>
      </c>
      <c r="F221" s="627" t="s">
        <v>958</v>
      </c>
      <c r="G221" s="628"/>
      <c r="H221" s="628"/>
      <c r="I221" s="628"/>
      <c r="J221" s="176"/>
      <c r="K221" s="266">
        <f>((1.85*2+1.3*2+13*2)*12.9+2*2*3.5*22.4)/1000</f>
        <v>0.73027</v>
      </c>
      <c r="L221" s="419"/>
      <c r="M221" s="419"/>
      <c r="R221" s="178"/>
      <c r="T221" s="142"/>
      <c r="V221" s="386"/>
    </row>
    <row r="222" spans="2:20" ht="13.5" outlineLevel="1">
      <c r="B222" s="5"/>
      <c r="C222" s="261"/>
      <c r="D222" s="261" t="s">
        <v>64</v>
      </c>
      <c r="E222" s="262" t="s">
        <v>941</v>
      </c>
      <c r="F222" s="625" t="s">
        <v>942</v>
      </c>
      <c r="G222" s="625"/>
      <c r="H222" s="625"/>
      <c r="I222" s="625"/>
      <c r="J222" s="174" t="s">
        <v>65</v>
      </c>
      <c r="K222" s="264">
        <f>SUM(K223:K225)</f>
        <v>19.14815</v>
      </c>
      <c r="L222" s="626"/>
      <c r="M222" s="626"/>
      <c r="N222" s="619">
        <f>ROUND(L222*K222,2)</f>
        <v>0</v>
      </c>
      <c r="O222" s="619"/>
      <c r="P222" s="619"/>
      <c r="Q222" s="619"/>
      <c r="R222" s="6"/>
      <c r="T222" s="142"/>
    </row>
    <row r="223" spans="2:22" s="177" customFormat="1" ht="13.5" outlineLevel="1">
      <c r="B223" s="175"/>
      <c r="E223" s="319" t="s">
        <v>84</v>
      </c>
      <c r="F223" s="627" t="s">
        <v>945</v>
      </c>
      <c r="G223" s="628">
        <f>(1.735+1.7+1.86)*3.77</f>
        <v>19.96215</v>
      </c>
      <c r="H223" s="628">
        <f>(1.735+1.7+1.86)*3.77</f>
        <v>19.96215</v>
      </c>
      <c r="I223" s="628">
        <f>(1.735+1.7+1.86)*3.77</f>
        <v>19.96215</v>
      </c>
      <c r="J223" s="176"/>
      <c r="K223" s="266">
        <f>(1.735+1.7+1.86)*3.77</f>
        <v>19.96215</v>
      </c>
      <c r="L223" s="419"/>
      <c r="M223" s="419"/>
      <c r="R223" s="178"/>
      <c r="T223" s="142"/>
      <c r="V223" s="386"/>
    </row>
    <row r="224" spans="2:22" s="177" customFormat="1" ht="13.5" outlineLevel="1">
      <c r="B224" s="175"/>
      <c r="E224" s="319" t="s">
        <v>85</v>
      </c>
      <c r="F224" s="627" t="s">
        <v>946</v>
      </c>
      <c r="G224" s="628">
        <f>0.9*2.16</f>
        <v>1.9440000000000002</v>
      </c>
      <c r="H224" s="628">
        <f>0.9*2.16</f>
        <v>1.9440000000000002</v>
      </c>
      <c r="I224" s="628">
        <f>0.9*2.16</f>
        <v>1.9440000000000002</v>
      </c>
      <c r="J224" s="176"/>
      <c r="K224" s="266">
        <f>0.9*2.16</f>
        <v>1.9440000000000002</v>
      </c>
      <c r="L224" s="419"/>
      <c r="M224" s="419"/>
      <c r="R224" s="178"/>
      <c r="T224" s="142"/>
      <c r="V224" s="386"/>
    </row>
    <row r="225" spans="2:22" s="177" customFormat="1" ht="13.5" outlineLevel="1">
      <c r="B225" s="175"/>
      <c r="E225" s="319" t="s">
        <v>400</v>
      </c>
      <c r="F225" s="627" t="s">
        <v>947</v>
      </c>
      <c r="G225" s="628" t="e">
        <f>(0.7*1.97*2)*F225</f>
        <v>#VALUE!</v>
      </c>
      <c r="H225" s="628" t="e">
        <f>(0.7*1.97*2)*G225</f>
        <v>#VALUE!</v>
      </c>
      <c r="I225" s="628" t="e">
        <f>(0.7*1.97*2)*H225</f>
        <v>#VALUE!</v>
      </c>
      <c r="J225" s="176">
        <v>-1</v>
      </c>
      <c r="K225" s="266">
        <f>(0.7*1.97*2)*J225</f>
        <v>-2.758</v>
      </c>
      <c r="L225" s="419"/>
      <c r="M225" s="419"/>
      <c r="R225" s="178"/>
      <c r="T225" s="142"/>
      <c r="V225" s="386"/>
    </row>
    <row r="226" spans="2:20" ht="13.5" outlineLevel="1">
      <c r="B226" s="5"/>
      <c r="C226" s="261"/>
      <c r="D226" s="261" t="s">
        <v>64</v>
      </c>
      <c r="E226" s="262">
        <v>342244211</v>
      </c>
      <c r="F226" s="625" t="s">
        <v>943</v>
      </c>
      <c r="G226" s="625"/>
      <c r="H226" s="625"/>
      <c r="I226" s="625"/>
      <c r="J226" s="174" t="s">
        <v>65</v>
      </c>
      <c r="K226" s="264">
        <f>SUM(K227:K231)</f>
        <v>85.2338</v>
      </c>
      <c r="L226" s="626"/>
      <c r="M226" s="626"/>
      <c r="N226" s="619">
        <f>ROUND(L226*K226,2)</f>
        <v>0</v>
      </c>
      <c r="O226" s="619"/>
      <c r="P226" s="619"/>
      <c r="Q226" s="619"/>
      <c r="R226" s="6"/>
      <c r="T226" s="142"/>
    </row>
    <row r="227" spans="2:22" s="177" customFormat="1" ht="13.5" outlineLevel="1">
      <c r="B227" s="175"/>
      <c r="E227" s="319" t="s">
        <v>84</v>
      </c>
      <c r="F227" s="627" t="s">
        <v>948</v>
      </c>
      <c r="G227" s="628">
        <f>(0.3*2+1.1)*2.1+0.9*2+1.86*3.77+(1.4*2+0.25)*2.1</f>
        <v>18.787200000000002</v>
      </c>
      <c r="H227" s="628">
        <f>(0.3*2+1.1)*2.1+0.9*2+1.86*3.77+(1.4*2+0.25)*2.1</f>
        <v>18.787200000000002</v>
      </c>
      <c r="I227" s="628">
        <f>(0.3*2+1.1)*2.1+0.9*2+1.86*3.77+(1.4*2+0.25)*2.1</f>
        <v>18.787200000000002</v>
      </c>
      <c r="J227" s="176"/>
      <c r="K227" s="266">
        <f>(0.3*2+1.1)*2.1+0.9*2+1.86*3.77+(1.4*2+0.25)*2.1</f>
        <v>18.787200000000002</v>
      </c>
      <c r="L227" s="419"/>
      <c r="M227" s="419"/>
      <c r="R227" s="178"/>
      <c r="T227" s="142"/>
      <c r="V227" s="386"/>
    </row>
    <row r="228" spans="2:22" s="177" customFormat="1" ht="13.5" outlineLevel="1">
      <c r="B228" s="175"/>
      <c r="E228" s="319" t="s">
        <v>85</v>
      </c>
      <c r="F228" s="627" t="s">
        <v>2032</v>
      </c>
      <c r="G228" s="628">
        <f aca="true" t="shared" si="4" ref="G228:I229">(0.4+1.35)*3.38+1.06*2.76+(3.165+3.2+0.9+1.5*2)*3.26+(2.685*2+0.9)*2.16</f>
        <v>55.8477</v>
      </c>
      <c r="H228" s="628">
        <f t="shared" si="4"/>
        <v>55.8477</v>
      </c>
      <c r="I228" s="628">
        <f t="shared" si="4"/>
        <v>55.8477</v>
      </c>
      <c r="J228" s="176"/>
      <c r="K228" s="266">
        <f>(0.4+1.35)*3.38+(3.165+3.2+0.9+1.5*2)*3.26+(2.685*2+0.9)*2.16</f>
        <v>52.9221</v>
      </c>
      <c r="L228" s="419"/>
      <c r="M228" s="419"/>
      <c r="R228" s="178"/>
      <c r="T228" s="142"/>
      <c r="V228" s="386"/>
    </row>
    <row r="229" spans="2:22" s="177" customFormat="1" ht="13.5" outlineLevel="1">
      <c r="B229" s="175"/>
      <c r="E229" s="319" t="s">
        <v>931</v>
      </c>
      <c r="F229" s="627" t="s">
        <v>2051</v>
      </c>
      <c r="G229" s="628">
        <f t="shared" si="4"/>
        <v>55.8477</v>
      </c>
      <c r="H229" s="628">
        <f t="shared" si="4"/>
        <v>55.8477</v>
      </c>
      <c r="I229" s="628">
        <f t="shared" si="4"/>
        <v>55.8477</v>
      </c>
      <c r="J229" s="176"/>
      <c r="K229" s="266">
        <f>(1.5+0.6*2)*3.3</f>
        <v>8.91</v>
      </c>
      <c r="L229" s="419"/>
      <c r="M229" s="419"/>
      <c r="R229" s="178"/>
      <c r="T229" s="142"/>
      <c r="V229" s="386"/>
    </row>
    <row r="230" spans="2:22" s="177" customFormat="1" ht="13.5" outlineLevel="1">
      <c r="B230" s="175"/>
      <c r="E230" s="319" t="s">
        <v>2030</v>
      </c>
      <c r="F230" s="627" t="s">
        <v>1128</v>
      </c>
      <c r="G230" s="628">
        <f>1.5*2.4+15.1-(0.85*1.97)</f>
        <v>17.0255</v>
      </c>
      <c r="H230" s="628">
        <f>1.5*2.4+15.1-(0.85*1.97)</f>
        <v>17.0255</v>
      </c>
      <c r="I230" s="628">
        <f>1.5*2.4+15.1-(0.85*1.97)</f>
        <v>17.0255</v>
      </c>
      <c r="J230" s="176"/>
      <c r="K230" s="266">
        <f>1.5*2.4+15.1-(0.85*1.97)</f>
        <v>17.0255</v>
      </c>
      <c r="L230" s="419"/>
      <c r="M230" s="419"/>
      <c r="R230" s="178"/>
      <c r="T230" s="142"/>
      <c r="V230" s="386"/>
    </row>
    <row r="231" spans="2:22" s="177" customFormat="1" ht="13.5" outlineLevel="1">
      <c r="B231" s="175"/>
      <c r="E231" s="319" t="s">
        <v>400</v>
      </c>
      <c r="F231" s="627" t="s">
        <v>949</v>
      </c>
      <c r="G231" s="628" t="e">
        <f>(0.7*1.97*(2+7))*F231</f>
        <v>#VALUE!</v>
      </c>
      <c r="H231" s="628" t="e">
        <f>(0.7*1.97*(2+7))*G231</f>
        <v>#VALUE!</v>
      </c>
      <c r="I231" s="628" t="e">
        <f>(0.7*1.97*(2+7))*H231</f>
        <v>#VALUE!</v>
      </c>
      <c r="J231" s="176">
        <v>-1</v>
      </c>
      <c r="K231" s="266">
        <f>(0.7*1.97*(2+7))*J231</f>
        <v>-12.411</v>
      </c>
      <c r="L231" s="419"/>
      <c r="M231" s="419"/>
      <c r="R231" s="178"/>
      <c r="T231" s="142"/>
      <c r="V231" s="386"/>
    </row>
    <row r="232" spans="2:20" ht="13.5" outlineLevel="1">
      <c r="B232" s="5"/>
      <c r="C232" s="261"/>
      <c r="D232" s="261" t="s">
        <v>64</v>
      </c>
      <c r="E232" s="262">
        <v>342244221</v>
      </c>
      <c r="F232" s="625" t="s">
        <v>944</v>
      </c>
      <c r="G232" s="625"/>
      <c r="H232" s="625"/>
      <c r="I232" s="625"/>
      <c r="J232" s="174" t="s">
        <v>65</v>
      </c>
      <c r="K232" s="264">
        <f>SUM(K233:K235)</f>
        <v>47.6844</v>
      </c>
      <c r="L232" s="626"/>
      <c r="M232" s="626"/>
      <c r="N232" s="619">
        <f>ROUND(L232*K232,2)</f>
        <v>0</v>
      </c>
      <c r="O232" s="619"/>
      <c r="P232" s="619"/>
      <c r="Q232" s="619"/>
      <c r="R232" s="6"/>
      <c r="T232" s="142"/>
    </row>
    <row r="233" spans="2:22" s="177" customFormat="1" ht="13.5" outlineLevel="1">
      <c r="B233" s="175"/>
      <c r="E233" s="319" t="s">
        <v>84</v>
      </c>
      <c r="F233" s="627" t="s">
        <v>955</v>
      </c>
      <c r="G233" s="628">
        <f>(6.66+1.7)*3.77+1*1.4+1.53*3.8+1.15*2.2+0.4*2.9+1.1*4</f>
        <v>46.8212</v>
      </c>
      <c r="H233" s="628">
        <f>(6.66+1.7)*3.77+1*1.4+1.53*3.8+1.15*2.2+0.4*2.9+1.1*4</f>
        <v>46.8212</v>
      </c>
      <c r="I233" s="628">
        <f>(6.66+1.7)*3.77+1*1.4+1.53*3.8+1.15*2.2+0.4*2.9+1.1*4</f>
        <v>46.8212</v>
      </c>
      <c r="J233" s="176"/>
      <c r="K233" s="266">
        <f>(6.66+1.7)*3.77+1*1.4+1.53*3.8+1.15*2.2+0.4*2.9+1.1*4+1.1*2.4</f>
        <v>49.4612</v>
      </c>
      <c r="L233" s="419"/>
      <c r="M233" s="419"/>
      <c r="R233" s="178"/>
      <c r="T233" s="142"/>
      <c r="V233" s="386"/>
    </row>
    <row r="234" spans="2:22" s="177" customFormat="1" ht="13.5" outlineLevel="1">
      <c r="B234" s="175"/>
      <c r="E234" s="319" t="s">
        <v>85</v>
      </c>
      <c r="F234" s="627" t="s">
        <v>950</v>
      </c>
      <c r="G234" s="628">
        <f>0.6*2.15+1.06*3.11*2</f>
        <v>7.8832</v>
      </c>
      <c r="H234" s="628">
        <f>0.6*2.15+1.06*3.11*2</f>
        <v>7.8832</v>
      </c>
      <c r="I234" s="628">
        <f>0.6*2.15+1.06*3.11*2</f>
        <v>7.8832</v>
      </c>
      <c r="J234" s="176"/>
      <c r="K234" s="266">
        <f>0.6*2.15+1.06*3.11*2</f>
        <v>7.8832</v>
      </c>
      <c r="L234" s="419"/>
      <c r="M234" s="419"/>
      <c r="R234" s="178"/>
      <c r="T234" s="142"/>
      <c r="V234" s="386"/>
    </row>
    <row r="235" spans="2:22" s="177" customFormat="1" ht="13.5" outlineLevel="1">
      <c r="B235" s="175"/>
      <c r="E235" s="319" t="s">
        <v>245</v>
      </c>
      <c r="F235" s="627" t="s">
        <v>956</v>
      </c>
      <c r="G235" s="628" t="e">
        <f>(0.8*2.1*3+0.7*2.1*2)*F235</f>
        <v>#VALUE!</v>
      </c>
      <c r="H235" s="628" t="e">
        <f>(0.8*2.1*3+0.7*2.1*2)*G235</f>
        <v>#VALUE!</v>
      </c>
      <c r="I235" s="628" t="e">
        <f>(0.8*2.1*3+0.7*2.1*2)*H235</f>
        <v>#VALUE!</v>
      </c>
      <c r="J235" s="176">
        <v>-1</v>
      </c>
      <c r="K235" s="266">
        <f>(0.8*2.1*4+0.7*2.1*2)*J235</f>
        <v>-9.66</v>
      </c>
      <c r="L235" s="419"/>
      <c r="M235" s="419"/>
      <c r="R235" s="178"/>
      <c r="T235" s="142"/>
      <c r="V235" s="386"/>
    </row>
    <row r="236" spans="2:25" s="143" customFormat="1" ht="12.75">
      <c r="B236" s="139"/>
      <c r="C236" s="140"/>
      <c r="D236" s="140" t="s">
        <v>960</v>
      </c>
      <c r="E236" s="140"/>
      <c r="F236" s="140"/>
      <c r="G236" s="140"/>
      <c r="H236" s="140"/>
      <c r="I236" s="140"/>
      <c r="J236" s="172"/>
      <c r="K236" s="140"/>
      <c r="L236" s="186"/>
      <c r="M236" s="186"/>
      <c r="N236" s="633">
        <f>SUM(N237:Q286)</f>
        <v>0</v>
      </c>
      <c r="O236" s="633"/>
      <c r="P236" s="633"/>
      <c r="Q236" s="633"/>
      <c r="R236" s="141"/>
      <c r="T236" s="173">
        <f>SUM(N236:Q286)/2</f>
        <v>0</v>
      </c>
      <c r="U236" s="195"/>
      <c r="V236" s="385"/>
      <c r="W236" s="265"/>
      <c r="X236" s="265"/>
      <c r="Y236" s="265"/>
    </row>
    <row r="237" spans="2:20" ht="13.5" outlineLevel="1">
      <c r="B237" s="5"/>
      <c r="C237" s="261"/>
      <c r="D237" s="261" t="s">
        <v>64</v>
      </c>
      <c r="E237" s="262">
        <v>411321515</v>
      </c>
      <c r="F237" s="625" t="s">
        <v>963</v>
      </c>
      <c r="G237" s="625"/>
      <c r="H237" s="625"/>
      <c r="I237" s="625"/>
      <c r="J237" s="174" t="s">
        <v>66</v>
      </c>
      <c r="K237" s="264">
        <f>SUM(K238:K239)</f>
        <v>3.2140312499999997</v>
      </c>
      <c r="L237" s="626"/>
      <c r="M237" s="626"/>
      <c r="N237" s="619">
        <f>ROUND(L237*K237,2)</f>
        <v>0</v>
      </c>
      <c r="O237" s="619"/>
      <c r="P237" s="619"/>
      <c r="Q237" s="619"/>
      <c r="R237" s="6"/>
      <c r="T237" s="142"/>
    </row>
    <row r="238" spans="2:22" s="177" customFormat="1" ht="13.5" outlineLevel="1">
      <c r="B238" s="175"/>
      <c r="E238" s="319" t="s">
        <v>964</v>
      </c>
      <c r="F238" s="627" t="s">
        <v>971</v>
      </c>
      <c r="G238" s="628" t="e">
        <f aca="true" t="shared" si="5" ref="G238:I239">(9.35+0.6)*(1.43+0.125+0.2)*F238</f>
        <v>#VALUE!</v>
      </c>
      <c r="H238" s="628" t="e">
        <f t="shared" si="5"/>
        <v>#VALUE!</v>
      </c>
      <c r="I238" s="628" t="e">
        <f t="shared" si="5"/>
        <v>#VALUE!</v>
      </c>
      <c r="J238" s="176">
        <v>0.125</v>
      </c>
      <c r="K238" s="266">
        <f>(9.35+0.6)*(1.43+0.125+0.2)*J238</f>
        <v>2.1827812499999997</v>
      </c>
      <c r="L238" s="419"/>
      <c r="M238" s="419"/>
      <c r="R238" s="178"/>
      <c r="T238" s="142"/>
      <c r="V238" s="386"/>
    </row>
    <row r="239" spans="2:22" s="177" customFormat="1" ht="13.5" outlineLevel="1">
      <c r="B239" s="175"/>
      <c r="E239" s="319" t="s">
        <v>990</v>
      </c>
      <c r="F239" s="627" t="s">
        <v>991</v>
      </c>
      <c r="G239" s="628" t="e">
        <f t="shared" si="5"/>
        <v>#VALUE!</v>
      </c>
      <c r="H239" s="628" t="e">
        <f t="shared" si="5"/>
        <v>#VALUE!</v>
      </c>
      <c r="I239" s="628" t="e">
        <f t="shared" si="5"/>
        <v>#VALUE!</v>
      </c>
      <c r="J239" s="176">
        <v>0.15</v>
      </c>
      <c r="K239" s="266">
        <f>(2.5*2.75)*J239</f>
        <v>1.03125</v>
      </c>
      <c r="L239" s="419"/>
      <c r="M239" s="419"/>
      <c r="R239" s="178"/>
      <c r="T239" s="142"/>
      <c r="V239" s="386"/>
    </row>
    <row r="240" spans="2:20" ht="13.5" outlineLevel="1">
      <c r="B240" s="5"/>
      <c r="C240" s="261"/>
      <c r="D240" s="261" t="s">
        <v>64</v>
      </c>
      <c r="E240" s="262" t="s">
        <v>965</v>
      </c>
      <c r="F240" s="625" t="s">
        <v>966</v>
      </c>
      <c r="G240" s="625"/>
      <c r="H240" s="625"/>
      <c r="I240" s="625"/>
      <c r="J240" s="174" t="s">
        <v>66</v>
      </c>
      <c r="K240" s="264">
        <f>SUM(K241:K241)</f>
        <v>2.7342</v>
      </c>
      <c r="L240" s="626"/>
      <c r="M240" s="626"/>
      <c r="N240" s="619">
        <f>ROUND(L240*K240,2)</f>
        <v>0</v>
      </c>
      <c r="O240" s="619"/>
      <c r="P240" s="619"/>
      <c r="Q240" s="619"/>
      <c r="R240" s="6"/>
      <c r="T240" s="142"/>
    </row>
    <row r="241" spans="2:22" s="177" customFormat="1" ht="13.5" outlineLevel="1">
      <c r="B241" s="175"/>
      <c r="E241" s="319" t="s">
        <v>967</v>
      </c>
      <c r="F241" s="627" t="s">
        <v>994</v>
      </c>
      <c r="G241" s="628" t="e">
        <f>(9.35+0.6+0.4+4+3.75)*(0.7)*F241</f>
        <v>#VALUE!</v>
      </c>
      <c r="H241" s="628" t="e">
        <f>(9.35+0.6+0.4+4+3.75)*(0.7)*G241</f>
        <v>#VALUE!</v>
      </c>
      <c r="I241" s="628" t="e">
        <f>(9.35+0.6+0.4+4+3.75)*(0.7)*H241</f>
        <v>#VALUE!</v>
      </c>
      <c r="J241" s="176">
        <v>0.2</v>
      </c>
      <c r="K241" s="266">
        <f>(9.35+0.6+0.4+4+3.75+1.43)*(0.7)*J241</f>
        <v>2.7342</v>
      </c>
      <c r="L241" s="419"/>
      <c r="M241" s="419"/>
      <c r="R241" s="178"/>
      <c r="T241" s="142"/>
      <c r="V241" s="386"/>
    </row>
    <row r="242" spans="2:20" ht="13.5" outlineLevel="1">
      <c r="B242" s="5"/>
      <c r="C242" s="261"/>
      <c r="D242" s="261" t="s">
        <v>64</v>
      </c>
      <c r="E242" s="262">
        <v>430321515</v>
      </c>
      <c r="F242" s="625" t="s">
        <v>968</v>
      </c>
      <c r="G242" s="625"/>
      <c r="H242" s="625"/>
      <c r="I242" s="625"/>
      <c r="J242" s="174" t="s">
        <v>66</v>
      </c>
      <c r="K242" s="264">
        <f>SUM(K243:K244)</f>
        <v>2.38290625</v>
      </c>
      <c r="L242" s="626"/>
      <c r="M242" s="626"/>
      <c r="N242" s="619">
        <f>ROUND(L242*K242,2)</f>
        <v>0</v>
      </c>
      <c r="O242" s="619"/>
      <c r="P242" s="619"/>
      <c r="Q242" s="619"/>
      <c r="R242" s="6"/>
      <c r="T242" s="142"/>
    </row>
    <row r="243" spans="2:22" s="177" customFormat="1" ht="22.5" outlineLevel="1">
      <c r="B243" s="175"/>
      <c r="E243" s="319" t="s">
        <v>969</v>
      </c>
      <c r="F243" s="627" t="s">
        <v>972</v>
      </c>
      <c r="G243" s="628" t="e">
        <f aca="true" t="shared" si="6" ref="G243:I244">(0.4+4+3.75)*(1.43+0.125+0.2)*F243</f>
        <v>#VALUE!</v>
      </c>
      <c r="H243" s="628" t="e">
        <f t="shared" si="6"/>
        <v>#VALUE!</v>
      </c>
      <c r="I243" s="628" t="e">
        <f t="shared" si="6"/>
        <v>#VALUE!</v>
      </c>
      <c r="J243" s="176">
        <v>0.125</v>
      </c>
      <c r="K243" s="266">
        <f>(0.4+4+3.75)*(1.43+0.125+0.2)*J243</f>
        <v>1.78790625</v>
      </c>
      <c r="L243" s="419"/>
      <c r="M243" s="419"/>
      <c r="R243" s="178"/>
      <c r="T243" s="142"/>
      <c r="V243" s="386"/>
    </row>
    <row r="244" spans="2:22" s="177" customFormat="1" ht="13.5" outlineLevel="1">
      <c r="B244" s="175"/>
      <c r="E244" s="319" t="s">
        <v>1009</v>
      </c>
      <c r="F244" s="627" t="s">
        <v>1010</v>
      </c>
      <c r="G244" s="628" t="e">
        <f t="shared" si="6"/>
        <v>#VALUE!</v>
      </c>
      <c r="H244" s="628" t="e">
        <f t="shared" si="6"/>
        <v>#VALUE!</v>
      </c>
      <c r="I244" s="628" t="e">
        <f t="shared" si="6"/>
        <v>#VALUE!</v>
      </c>
      <c r="J244" s="176">
        <v>0.125</v>
      </c>
      <c r="K244" s="266">
        <f>(3.4*1.4)*J244</f>
        <v>0.595</v>
      </c>
      <c r="L244" s="419"/>
      <c r="M244" s="419"/>
      <c r="R244" s="178"/>
      <c r="T244" s="142"/>
      <c r="V244" s="386"/>
    </row>
    <row r="245" spans="2:20" ht="13.5" outlineLevel="1">
      <c r="B245" s="5"/>
      <c r="C245" s="261"/>
      <c r="D245" s="261" t="s">
        <v>64</v>
      </c>
      <c r="E245" s="262">
        <v>411351011</v>
      </c>
      <c r="F245" s="625" t="s">
        <v>970</v>
      </c>
      <c r="G245" s="625"/>
      <c r="H245" s="625"/>
      <c r="I245" s="625"/>
      <c r="J245" s="174" t="s">
        <v>65</v>
      </c>
      <c r="K245" s="264">
        <f>SUM(K246:K246)</f>
        <v>17.462249999999997</v>
      </c>
      <c r="L245" s="626"/>
      <c r="M245" s="626"/>
      <c r="N245" s="619">
        <f>ROUND(L245*K245,2)</f>
        <v>0</v>
      </c>
      <c r="O245" s="619"/>
      <c r="P245" s="619"/>
      <c r="Q245" s="619"/>
      <c r="R245" s="6"/>
      <c r="T245" s="142"/>
    </row>
    <row r="246" spans="2:22" s="177" customFormat="1" ht="13.5" outlineLevel="1">
      <c r="B246" s="175"/>
      <c r="E246" s="319" t="s">
        <v>964</v>
      </c>
      <c r="F246" s="627" t="s">
        <v>995</v>
      </c>
      <c r="G246" s="628">
        <f>(9.35+0.6)*(1.43+0.125+0.2)</f>
        <v>17.462249999999997</v>
      </c>
      <c r="H246" s="628">
        <f>(9.35+0.6)*(1.43+0.125+0.2)</f>
        <v>17.462249999999997</v>
      </c>
      <c r="I246" s="628">
        <f>(9.35+0.6)*(1.43+0.125+0.2)</f>
        <v>17.462249999999997</v>
      </c>
      <c r="J246" s="176"/>
      <c r="K246" s="266">
        <f>(9.35+0.6)*(1.43+0.125+0.2)</f>
        <v>17.462249999999997</v>
      </c>
      <c r="L246" s="419"/>
      <c r="M246" s="419"/>
      <c r="R246" s="178"/>
      <c r="T246" s="142"/>
      <c r="V246" s="386"/>
    </row>
    <row r="247" spans="2:22" s="177" customFormat="1" ht="13.5" outlineLevel="1">
      <c r="B247" s="175"/>
      <c r="E247" s="319" t="s">
        <v>990</v>
      </c>
      <c r="F247" s="627" t="s">
        <v>992</v>
      </c>
      <c r="G247" s="628" t="e">
        <f>(9.35+0.6)*(1.43+0.125+0.2)*F247</f>
        <v>#VALUE!</v>
      </c>
      <c r="H247" s="628" t="e">
        <f>(9.35+0.6)*(1.43+0.125+0.2)*G247</f>
        <v>#VALUE!</v>
      </c>
      <c r="I247" s="628" t="e">
        <f>(9.35+0.6)*(1.43+0.125+0.2)*H247</f>
        <v>#VALUE!</v>
      </c>
      <c r="J247" s="176"/>
      <c r="K247" s="266">
        <f>(2.5*2.75)</f>
        <v>6.875</v>
      </c>
      <c r="L247" s="419"/>
      <c r="M247" s="419"/>
      <c r="R247" s="178"/>
      <c r="T247" s="142"/>
      <c r="V247" s="386"/>
    </row>
    <row r="248" spans="2:20" ht="13.5" outlineLevel="1">
      <c r="B248" s="5"/>
      <c r="C248" s="261"/>
      <c r="D248" s="261" t="s">
        <v>64</v>
      </c>
      <c r="E248" s="262" t="s">
        <v>973</v>
      </c>
      <c r="F248" s="625" t="s">
        <v>974</v>
      </c>
      <c r="G248" s="625"/>
      <c r="H248" s="625"/>
      <c r="I248" s="625"/>
      <c r="J248" s="174" t="s">
        <v>65</v>
      </c>
      <c r="K248" s="264">
        <f>K245</f>
        <v>17.462249999999997</v>
      </c>
      <c r="L248" s="626"/>
      <c r="M248" s="626"/>
      <c r="N248" s="619">
        <f aca="true" t="shared" si="7" ref="N248:N253">ROUND(L248*K248,2)</f>
        <v>0</v>
      </c>
      <c r="O248" s="619"/>
      <c r="P248" s="619"/>
      <c r="Q248" s="619"/>
      <c r="R248" s="6"/>
      <c r="T248" s="142"/>
    </row>
    <row r="249" spans="2:20" ht="13.5" outlineLevel="1">
      <c r="B249" s="5"/>
      <c r="C249" s="261"/>
      <c r="D249" s="261" t="s">
        <v>64</v>
      </c>
      <c r="E249" s="262">
        <v>411354311</v>
      </c>
      <c r="F249" s="625" t="s">
        <v>975</v>
      </c>
      <c r="G249" s="625"/>
      <c r="H249" s="625"/>
      <c r="I249" s="625"/>
      <c r="J249" s="174" t="s">
        <v>65</v>
      </c>
      <c r="K249" s="264">
        <f>K245</f>
        <v>17.462249999999997</v>
      </c>
      <c r="L249" s="626"/>
      <c r="M249" s="626"/>
      <c r="N249" s="619">
        <f t="shared" si="7"/>
        <v>0</v>
      </c>
      <c r="O249" s="619"/>
      <c r="P249" s="619"/>
      <c r="Q249" s="619"/>
      <c r="R249" s="6"/>
      <c r="T249" s="142"/>
    </row>
    <row r="250" spans="2:20" ht="13.5" outlineLevel="1">
      <c r="B250" s="5"/>
      <c r="C250" s="261"/>
      <c r="D250" s="261" t="s">
        <v>64</v>
      </c>
      <c r="E250" s="262" t="s">
        <v>976</v>
      </c>
      <c r="F250" s="625" t="s">
        <v>977</v>
      </c>
      <c r="G250" s="625"/>
      <c r="H250" s="625"/>
      <c r="I250" s="625"/>
      <c r="J250" s="174" t="s">
        <v>65</v>
      </c>
      <c r="K250" s="264">
        <f>K245</f>
        <v>17.462249999999997</v>
      </c>
      <c r="L250" s="626"/>
      <c r="M250" s="626"/>
      <c r="N250" s="619">
        <f t="shared" si="7"/>
        <v>0</v>
      </c>
      <c r="O250" s="619"/>
      <c r="P250" s="619"/>
      <c r="Q250" s="619"/>
      <c r="R250" s="6"/>
      <c r="T250" s="142"/>
    </row>
    <row r="251" spans="2:20" ht="13.5" outlineLevel="1">
      <c r="B251" s="5"/>
      <c r="C251" s="261"/>
      <c r="D251" s="261" t="s">
        <v>64</v>
      </c>
      <c r="E251" s="262">
        <v>411354311</v>
      </c>
      <c r="F251" s="625" t="s">
        <v>975</v>
      </c>
      <c r="G251" s="625"/>
      <c r="H251" s="625"/>
      <c r="I251" s="625"/>
      <c r="J251" s="174" t="s">
        <v>65</v>
      </c>
      <c r="K251" s="264">
        <f>K247</f>
        <v>6.875</v>
      </c>
      <c r="L251" s="626"/>
      <c r="M251" s="626"/>
      <c r="N251" s="619">
        <f t="shared" si="7"/>
        <v>0</v>
      </c>
      <c r="O251" s="619"/>
      <c r="P251" s="619"/>
      <c r="Q251" s="619"/>
      <c r="R251" s="6"/>
      <c r="T251" s="142"/>
    </row>
    <row r="252" spans="2:20" ht="13.5" outlineLevel="1">
      <c r="B252" s="5"/>
      <c r="C252" s="261"/>
      <c r="D252" s="261" t="s">
        <v>64</v>
      </c>
      <c r="E252" s="262" t="s">
        <v>976</v>
      </c>
      <c r="F252" s="625" t="s">
        <v>977</v>
      </c>
      <c r="G252" s="625"/>
      <c r="H252" s="625"/>
      <c r="I252" s="625"/>
      <c r="J252" s="174" t="s">
        <v>65</v>
      </c>
      <c r="K252" s="264">
        <f>K247</f>
        <v>6.875</v>
      </c>
      <c r="L252" s="626"/>
      <c r="M252" s="626"/>
      <c r="N252" s="619">
        <f t="shared" si="7"/>
        <v>0</v>
      </c>
      <c r="O252" s="619"/>
      <c r="P252" s="619"/>
      <c r="Q252" s="619"/>
      <c r="R252" s="6"/>
      <c r="T252" s="142"/>
    </row>
    <row r="253" spans="2:20" ht="13.5" outlineLevel="1">
      <c r="B253" s="5"/>
      <c r="C253" s="261"/>
      <c r="D253" s="261" t="s">
        <v>64</v>
      </c>
      <c r="E253" s="262">
        <v>413351111</v>
      </c>
      <c r="F253" s="625" t="s">
        <v>978</v>
      </c>
      <c r="G253" s="625"/>
      <c r="H253" s="625"/>
      <c r="I253" s="625"/>
      <c r="J253" s="174" t="s">
        <v>65</v>
      </c>
      <c r="K253" s="264">
        <f>SUM(K254:K254)</f>
        <v>27.342</v>
      </c>
      <c r="L253" s="626"/>
      <c r="M253" s="626"/>
      <c r="N253" s="619">
        <f t="shared" si="7"/>
        <v>0</v>
      </c>
      <c r="O253" s="619"/>
      <c r="P253" s="619"/>
      <c r="Q253" s="619"/>
      <c r="R253" s="6"/>
      <c r="T253" s="142"/>
    </row>
    <row r="254" spans="2:22" s="177" customFormat="1" ht="13.5" outlineLevel="1">
      <c r="B254" s="175"/>
      <c r="E254" s="319" t="s">
        <v>967</v>
      </c>
      <c r="F254" s="627" t="s">
        <v>996</v>
      </c>
      <c r="G254" s="628">
        <f>(9.35+0.6+0.4+4+3.75+1.43)*0.7*2</f>
        <v>27.342</v>
      </c>
      <c r="H254" s="628">
        <f>(9.35+0.6+0.4+4+3.75+1.43)*0.7*2</f>
        <v>27.342</v>
      </c>
      <c r="I254" s="628">
        <f>(9.35+0.6+0.4+4+3.75+1.43)*0.7*2</f>
        <v>27.342</v>
      </c>
      <c r="J254" s="176"/>
      <c r="K254" s="266">
        <f>(9.35+0.6+0.4+4+3.75+1.43)*0.7*2</f>
        <v>27.342</v>
      </c>
      <c r="L254" s="419"/>
      <c r="M254" s="419"/>
      <c r="R254" s="178"/>
      <c r="T254" s="142"/>
      <c r="V254" s="386"/>
    </row>
    <row r="255" spans="2:20" ht="13.5" outlineLevel="1">
      <c r="B255" s="5"/>
      <c r="C255" s="261"/>
      <c r="D255" s="261" t="s">
        <v>64</v>
      </c>
      <c r="E255" s="262" t="s">
        <v>979</v>
      </c>
      <c r="F255" s="625" t="s">
        <v>980</v>
      </c>
      <c r="G255" s="625"/>
      <c r="H255" s="625"/>
      <c r="I255" s="625"/>
      <c r="J255" s="174" t="s">
        <v>65</v>
      </c>
      <c r="K255" s="264">
        <f>K253</f>
        <v>27.342</v>
      </c>
      <c r="L255" s="626"/>
      <c r="M255" s="626"/>
      <c r="N255" s="619">
        <f>ROUND(L255*K255,2)</f>
        <v>0</v>
      </c>
      <c r="O255" s="619"/>
      <c r="P255" s="619"/>
      <c r="Q255" s="619"/>
      <c r="R255" s="6"/>
      <c r="T255" s="142"/>
    </row>
    <row r="256" spans="2:20" ht="27" customHeight="1" outlineLevel="1">
      <c r="B256" s="5"/>
      <c r="C256" s="261"/>
      <c r="D256" s="261" t="s">
        <v>64</v>
      </c>
      <c r="E256" s="262">
        <v>413352111</v>
      </c>
      <c r="F256" s="625" t="s">
        <v>981</v>
      </c>
      <c r="G256" s="625"/>
      <c r="H256" s="625"/>
      <c r="I256" s="625"/>
      <c r="J256" s="174" t="s">
        <v>65</v>
      </c>
      <c r="K256" s="264">
        <f>K253</f>
        <v>27.342</v>
      </c>
      <c r="L256" s="626"/>
      <c r="M256" s="626"/>
      <c r="N256" s="619">
        <f>ROUND(L256*K256,2)</f>
        <v>0</v>
      </c>
      <c r="O256" s="619"/>
      <c r="P256" s="619"/>
      <c r="Q256" s="619"/>
      <c r="R256" s="6"/>
      <c r="T256" s="142"/>
    </row>
    <row r="257" spans="2:20" ht="27" customHeight="1" outlineLevel="1">
      <c r="B257" s="5"/>
      <c r="C257" s="261"/>
      <c r="D257" s="261" t="s">
        <v>64</v>
      </c>
      <c r="E257" s="262" t="s">
        <v>982</v>
      </c>
      <c r="F257" s="625" t="s">
        <v>983</v>
      </c>
      <c r="G257" s="625"/>
      <c r="H257" s="625"/>
      <c r="I257" s="625"/>
      <c r="J257" s="174" t="s">
        <v>65</v>
      </c>
      <c r="K257" s="264">
        <f>K253</f>
        <v>27.342</v>
      </c>
      <c r="L257" s="626"/>
      <c r="M257" s="626"/>
      <c r="N257" s="619">
        <f>ROUND(L257*K257,2)</f>
        <v>0</v>
      </c>
      <c r="O257" s="619"/>
      <c r="P257" s="619"/>
      <c r="Q257" s="619"/>
      <c r="R257" s="6"/>
      <c r="T257" s="142"/>
    </row>
    <row r="258" spans="2:20" ht="13.5" outlineLevel="1">
      <c r="B258" s="5"/>
      <c r="C258" s="261"/>
      <c r="D258" s="261" t="s">
        <v>64</v>
      </c>
      <c r="E258" s="262">
        <v>431351121</v>
      </c>
      <c r="F258" s="625" t="s">
        <v>984</v>
      </c>
      <c r="G258" s="625"/>
      <c r="H258" s="625"/>
      <c r="I258" s="625"/>
      <c r="J258" s="174" t="s">
        <v>65</v>
      </c>
      <c r="K258" s="264">
        <f>SUM(K259:K260)</f>
        <v>19.06325</v>
      </c>
      <c r="L258" s="626"/>
      <c r="M258" s="626"/>
      <c r="N258" s="619">
        <f>ROUND(L258*K258,2)</f>
        <v>0</v>
      </c>
      <c r="O258" s="619"/>
      <c r="P258" s="619"/>
      <c r="Q258" s="619"/>
      <c r="R258" s="6"/>
      <c r="T258" s="142"/>
    </row>
    <row r="259" spans="2:22" s="177" customFormat="1" ht="22.5" outlineLevel="1">
      <c r="B259" s="175"/>
      <c r="E259" s="319" t="s">
        <v>969</v>
      </c>
      <c r="F259" s="627" t="s">
        <v>997</v>
      </c>
      <c r="G259" s="628">
        <f>(0.4+4+3.75)*(1.43+0.125+0.2)</f>
        <v>14.30325</v>
      </c>
      <c r="H259" s="628">
        <f>(0.4+4+3.75)*(1.43+0.125+0.2)</f>
        <v>14.30325</v>
      </c>
      <c r="I259" s="628">
        <f>(0.4+4+3.75)*(1.43+0.125+0.2)</f>
        <v>14.30325</v>
      </c>
      <c r="J259" s="176"/>
      <c r="K259" s="266">
        <f>(0.4+4+3.75)*(1.43+0.125+0.2)</f>
        <v>14.30325</v>
      </c>
      <c r="L259" s="419"/>
      <c r="M259" s="419"/>
      <c r="R259" s="178"/>
      <c r="T259" s="142"/>
      <c r="V259" s="386"/>
    </row>
    <row r="260" spans="2:22" s="177" customFormat="1" ht="13.5" outlineLevel="1">
      <c r="B260" s="175"/>
      <c r="E260" s="319" t="s">
        <v>1009</v>
      </c>
      <c r="F260" s="627" t="s">
        <v>1011</v>
      </c>
      <c r="G260" s="628" t="e">
        <f>(0.4+4+3.75)*(1.43+0.125+0.2)*F260</f>
        <v>#VALUE!</v>
      </c>
      <c r="H260" s="628" t="e">
        <f>(0.4+4+3.75)*(1.43+0.125+0.2)*G260</f>
        <v>#VALUE!</v>
      </c>
      <c r="I260" s="628" t="e">
        <f>(0.4+4+3.75)*(1.43+0.125+0.2)*H260</f>
        <v>#VALUE!</v>
      </c>
      <c r="J260" s="176"/>
      <c r="K260" s="266">
        <f>(3.4*1.4)</f>
        <v>4.76</v>
      </c>
      <c r="L260" s="419"/>
      <c r="M260" s="419"/>
      <c r="R260" s="178"/>
      <c r="T260" s="142"/>
      <c r="V260" s="386"/>
    </row>
    <row r="261" spans="2:20" ht="13.5" outlineLevel="1">
      <c r="B261" s="5"/>
      <c r="C261" s="261"/>
      <c r="D261" s="261" t="s">
        <v>64</v>
      </c>
      <c r="E261" s="262">
        <v>431351122</v>
      </c>
      <c r="F261" s="625" t="s">
        <v>985</v>
      </c>
      <c r="G261" s="625"/>
      <c r="H261" s="625"/>
      <c r="I261" s="625"/>
      <c r="J261" s="174" t="s">
        <v>65</v>
      </c>
      <c r="K261" s="264">
        <f>K258</f>
        <v>19.06325</v>
      </c>
      <c r="L261" s="626"/>
      <c r="M261" s="626"/>
      <c r="N261" s="619">
        <f>ROUND(L261*K261,2)</f>
        <v>0</v>
      </c>
      <c r="O261" s="619"/>
      <c r="P261" s="619"/>
      <c r="Q261" s="619"/>
      <c r="R261" s="6"/>
      <c r="T261" s="142"/>
    </row>
    <row r="262" spans="2:20" ht="13.5" outlineLevel="1">
      <c r="B262" s="5"/>
      <c r="C262" s="261"/>
      <c r="D262" s="261" t="s">
        <v>64</v>
      </c>
      <c r="E262" s="262">
        <v>411361821</v>
      </c>
      <c r="F262" s="625" t="s">
        <v>986</v>
      </c>
      <c r="G262" s="625"/>
      <c r="H262" s="625"/>
      <c r="I262" s="625"/>
      <c r="J262" s="174" t="s">
        <v>68</v>
      </c>
      <c r="K262" s="264">
        <f>SUM(K263:K263)</f>
        <v>0.64280625</v>
      </c>
      <c r="L262" s="626"/>
      <c r="M262" s="626"/>
      <c r="N262" s="619">
        <f>ROUND(L262*K262,2)</f>
        <v>0</v>
      </c>
      <c r="O262" s="619"/>
      <c r="P262" s="619"/>
      <c r="Q262" s="619"/>
      <c r="R262" s="6"/>
      <c r="T262" s="142"/>
    </row>
    <row r="263" spans="2:22" s="177" customFormat="1" ht="13.5" outlineLevel="1">
      <c r="B263" s="175"/>
      <c r="E263" s="319" t="s">
        <v>447</v>
      </c>
      <c r="F263" s="627" t="s">
        <v>194</v>
      </c>
      <c r="G263" s="628"/>
      <c r="H263" s="628"/>
      <c r="I263" s="628"/>
      <c r="J263" s="176">
        <v>0.2</v>
      </c>
      <c r="K263" s="266">
        <f>K237*J263</f>
        <v>0.64280625</v>
      </c>
      <c r="L263" s="419"/>
      <c r="M263" s="419"/>
      <c r="R263" s="178"/>
      <c r="T263" s="142"/>
      <c r="V263" s="386"/>
    </row>
    <row r="264" spans="2:20" ht="13.5" outlineLevel="1">
      <c r="B264" s="5"/>
      <c r="C264" s="261"/>
      <c r="D264" s="261" t="s">
        <v>64</v>
      </c>
      <c r="E264" s="262">
        <v>413361821</v>
      </c>
      <c r="F264" s="625" t="s">
        <v>987</v>
      </c>
      <c r="G264" s="625"/>
      <c r="H264" s="625"/>
      <c r="I264" s="625"/>
      <c r="J264" s="174" t="s">
        <v>68</v>
      </c>
      <c r="K264" s="264">
        <f>SUM(K265:K265)</f>
        <v>0.54684</v>
      </c>
      <c r="L264" s="626"/>
      <c r="M264" s="626"/>
      <c r="N264" s="619">
        <f>ROUND(L264*K264,2)</f>
        <v>0</v>
      </c>
      <c r="O264" s="619"/>
      <c r="P264" s="619"/>
      <c r="Q264" s="619"/>
      <c r="R264" s="6"/>
      <c r="T264" s="142"/>
    </row>
    <row r="265" spans="2:22" s="177" customFormat="1" ht="13.5" outlineLevel="1">
      <c r="B265" s="175"/>
      <c r="E265" s="319" t="s">
        <v>447</v>
      </c>
      <c r="F265" s="627" t="s">
        <v>194</v>
      </c>
      <c r="G265" s="628"/>
      <c r="H265" s="628"/>
      <c r="I265" s="628"/>
      <c r="J265" s="176">
        <v>0.2</v>
      </c>
      <c r="K265" s="266">
        <f>K240*J265</f>
        <v>0.54684</v>
      </c>
      <c r="L265" s="419"/>
      <c r="M265" s="419"/>
      <c r="R265" s="178"/>
      <c r="T265" s="142"/>
      <c r="V265" s="386"/>
    </row>
    <row r="266" spans="2:20" ht="13.5" outlineLevel="1">
      <c r="B266" s="5"/>
      <c r="C266" s="261"/>
      <c r="D266" s="261" t="s">
        <v>64</v>
      </c>
      <c r="E266" s="262">
        <v>430361821</v>
      </c>
      <c r="F266" s="625" t="s">
        <v>988</v>
      </c>
      <c r="G266" s="625"/>
      <c r="H266" s="625"/>
      <c r="I266" s="625"/>
      <c r="J266" s="174" t="s">
        <v>68</v>
      </c>
      <c r="K266" s="264">
        <f>SUM(K267:K267)</f>
        <v>0.47658125</v>
      </c>
      <c r="L266" s="626"/>
      <c r="M266" s="626"/>
      <c r="N266" s="619">
        <f>ROUND(L266*K266,2)</f>
        <v>0</v>
      </c>
      <c r="O266" s="619"/>
      <c r="P266" s="619"/>
      <c r="Q266" s="619"/>
      <c r="R266" s="6"/>
      <c r="T266" s="142"/>
    </row>
    <row r="267" spans="2:22" s="177" customFormat="1" ht="13.5" outlineLevel="1">
      <c r="B267" s="175"/>
      <c r="E267" s="319" t="s">
        <v>447</v>
      </c>
      <c r="F267" s="627" t="s">
        <v>194</v>
      </c>
      <c r="G267" s="628"/>
      <c r="H267" s="628"/>
      <c r="I267" s="628"/>
      <c r="J267" s="176">
        <v>0.2</v>
      </c>
      <c r="K267" s="266">
        <f>K242*J267</f>
        <v>0.47658125</v>
      </c>
      <c r="L267" s="419"/>
      <c r="M267" s="419"/>
      <c r="R267" s="178"/>
      <c r="T267" s="142"/>
      <c r="V267" s="386"/>
    </row>
    <row r="268" spans="2:20" ht="13.5" outlineLevel="1">
      <c r="B268" s="5"/>
      <c r="C268" s="261"/>
      <c r="D268" s="261" t="s">
        <v>64</v>
      </c>
      <c r="E268" s="262">
        <v>417321414</v>
      </c>
      <c r="F268" s="625" t="s">
        <v>989</v>
      </c>
      <c r="G268" s="625"/>
      <c r="H268" s="625"/>
      <c r="I268" s="625"/>
      <c r="J268" s="174" t="s">
        <v>66</v>
      </c>
      <c r="K268" s="264">
        <f>SUM(K269:K270)</f>
        <v>1.789375</v>
      </c>
      <c r="L268" s="626"/>
      <c r="M268" s="626"/>
      <c r="N268" s="619">
        <f>ROUND(L268*K268,2)</f>
        <v>0</v>
      </c>
      <c r="O268" s="619"/>
      <c r="P268" s="619"/>
      <c r="Q268" s="619"/>
      <c r="R268" s="6"/>
      <c r="T268" s="142"/>
    </row>
    <row r="269" spans="2:22" s="177" customFormat="1" ht="13.5" outlineLevel="1">
      <c r="B269" s="175"/>
      <c r="E269" s="319" t="s">
        <v>993</v>
      </c>
      <c r="F269" s="627" t="s">
        <v>1006</v>
      </c>
      <c r="G269" s="628">
        <f aca="true" t="shared" si="8" ref="G269:I270">(2.5+2.75)*2*2*0.25*0.25</f>
        <v>1.3125</v>
      </c>
      <c r="H269" s="628">
        <f t="shared" si="8"/>
        <v>1.3125</v>
      </c>
      <c r="I269" s="628">
        <f t="shared" si="8"/>
        <v>1.3125</v>
      </c>
      <c r="J269" s="176"/>
      <c r="K269" s="266">
        <f>((2.5+2.75)*2*2+0.7*2)*0.25*0.25</f>
        <v>1.4</v>
      </c>
      <c r="L269" s="419"/>
      <c r="M269" s="419"/>
      <c r="R269" s="178"/>
      <c r="T269" s="142"/>
      <c r="V269" s="386"/>
    </row>
    <row r="270" spans="2:22" s="177" customFormat="1" ht="13.5" outlineLevel="1">
      <c r="B270" s="175"/>
      <c r="E270" s="319" t="s">
        <v>1001</v>
      </c>
      <c r="F270" s="627" t="s">
        <v>1002</v>
      </c>
      <c r="G270" s="628">
        <f t="shared" si="8"/>
        <v>1.3125</v>
      </c>
      <c r="H270" s="628">
        <f t="shared" si="8"/>
        <v>1.3125</v>
      </c>
      <c r="I270" s="628">
        <f t="shared" si="8"/>
        <v>1.3125</v>
      </c>
      <c r="J270" s="176"/>
      <c r="K270" s="266">
        <f>(6.23)*0.25*0.25</f>
        <v>0.389375</v>
      </c>
      <c r="L270" s="419"/>
      <c r="M270" s="419"/>
      <c r="R270" s="178"/>
      <c r="T270" s="142"/>
      <c r="V270" s="386"/>
    </row>
    <row r="271" spans="2:20" ht="13.5" outlineLevel="1">
      <c r="B271" s="5"/>
      <c r="C271" s="261"/>
      <c r="D271" s="261" t="s">
        <v>64</v>
      </c>
      <c r="E271" s="262">
        <v>417351115</v>
      </c>
      <c r="F271" s="625" t="s">
        <v>998</v>
      </c>
      <c r="G271" s="625"/>
      <c r="H271" s="625"/>
      <c r="I271" s="625"/>
      <c r="J271" s="174" t="s">
        <v>65</v>
      </c>
      <c r="K271" s="264">
        <f>SUM(K272:K273)</f>
        <v>14.315</v>
      </c>
      <c r="L271" s="626"/>
      <c r="M271" s="626"/>
      <c r="N271" s="619">
        <f>ROUND(L271*K271,2)</f>
        <v>0</v>
      </c>
      <c r="O271" s="619"/>
      <c r="P271" s="619"/>
      <c r="Q271" s="619"/>
      <c r="R271" s="6"/>
      <c r="T271" s="142"/>
    </row>
    <row r="272" spans="2:22" s="177" customFormat="1" ht="11.25" customHeight="1" outlineLevel="1">
      <c r="B272" s="175"/>
      <c r="E272" s="319" t="s">
        <v>993</v>
      </c>
      <c r="F272" s="627" t="s">
        <v>1007</v>
      </c>
      <c r="G272" s="628">
        <f aca="true" t="shared" si="9" ref="G272:I273">(2.5+2.75)*2*2*0.25*0.25</f>
        <v>1.3125</v>
      </c>
      <c r="H272" s="628">
        <f t="shared" si="9"/>
        <v>1.3125</v>
      </c>
      <c r="I272" s="628">
        <f t="shared" si="9"/>
        <v>1.3125</v>
      </c>
      <c r="J272" s="176"/>
      <c r="K272" s="266">
        <f>((2.5+2.75)*2*2+0.7*2)*0.25*2</f>
        <v>11.2</v>
      </c>
      <c r="L272" s="419"/>
      <c r="M272" s="419"/>
      <c r="R272" s="178"/>
      <c r="T272" s="142"/>
      <c r="V272" s="386"/>
    </row>
    <row r="273" spans="2:22" s="177" customFormat="1" ht="13.5" outlineLevel="1">
      <c r="B273" s="175"/>
      <c r="E273" s="319" t="s">
        <v>1001</v>
      </c>
      <c r="F273" s="627" t="s">
        <v>1008</v>
      </c>
      <c r="G273" s="628">
        <f t="shared" si="9"/>
        <v>1.3125</v>
      </c>
      <c r="H273" s="628">
        <f t="shared" si="9"/>
        <v>1.3125</v>
      </c>
      <c r="I273" s="628">
        <f t="shared" si="9"/>
        <v>1.3125</v>
      </c>
      <c r="J273" s="176"/>
      <c r="K273" s="266">
        <f>(6.23)*0.25*2</f>
        <v>3.115</v>
      </c>
      <c r="L273" s="419"/>
      <c r="M273" s="419"/>
      <c r="R273" s="178"/>
      <c r="T273" s="142"/>
      <c r="V273" s="386"/>
    </row>
    <row r="274" spans="2:20" ht="13.5" outlineLevel="1">
      <c r="B274" s="5"/>
      <c r="C274" s="261"/>
      <c r="D274" s="261" t="s">
        <v>64</v>
      </c>
      <c r="E274" s="262" t="s">
        <v>999</v>
      </c>
      <c r="F274" s="625" t="s">
        <v>1000</v>
      </c>
      <c r="G274" s="625"/>
      <c r="H274" s="625"/>
      <c r="I274" s="625"/>
      <c r="J274" s="174" t="s">
        <v>65</v>
      </c>
      <c r="K274" s="264">
        <f>K271</f>
        <v>14.315</v>
      </c>
      <c r="L274" s="626"/>
      <c r="M274" s="626"/>
      <c r="N274" s="619">
        <f>ROUND(L274*K274,2)</f>
        <v>0</v>
      </c>
      <c r="O274" s="619"/>
      <c r="P274" s="619"/>
      <c r="Q274" s="619"/>
      <c r="R274" s="6"/>
      <c r="T274" s="142"/>
    </row>
    <row r="275" spans="2:20" ht="13.5" outlineLevel="1">
      <c r="B275" s="5"/>
      <c r="C275" s="261"/>
      <c r="D275" s="261" t="s">
        <v>64</v>
      </c>
      <c r="E275" s="262">
        <v>417361821</v>
      </c>
      <c r="F275" s="625" t="s">
        <v>1003</v>
      </c>
      <c r="G275" s="625"/>
      <c r="H275" s="625"/>
      <c r="I275" s="625"/>
      <c r="J275" s="174" t="s">
        <v>68</v>
      </c>
      <c r="K275" s="264">
        <f>SUM(K276:K276)</f>
        <v>0.26840624999999996</v>
      </c>
      <c r="L275" s="626"/>
      <c r="M275" s="626"/>
      <c r="N275" s="619">
        <f>ROUND(L275*K275,2)</f>
        <v>0</v>
      </c>
      <c r="O275" s="619"/>
      <c r="P275" s="619"/>
      <c r="Q275" s="619"/>
      <c r="R275" s="6"/>
      <c r="T275" s="142"/>
    </row>
    <row r="276" spans="2:22" s="177" customFormat="1" ht="11.25" customHeight="1" outlineLevel="1">
      <c r="B276" s="175"/>
      <c r="E276" s="319" t="s">
        <v>1004</v>
      </c>
      <c r="F276" s="627" t="s">
        <v>1005</v>
      </c>
      <c r="G276" s="628"/>
      <c r="H276" s="628"/>
      <c r="I276" s="628"/>
      <c r="J276" s="176">
        <f>150/1000</f>
        <v>0.15</v>
      </c>
      <c r="K276" s="266">
        <f>K268*J276</f>
        <v>0.26840624999999996</v>
      </c>
      <c r="L276" s="419"/>
      <c r="M276" s="419"/>
      <c r="R276" s="178"/>
      <c r="T276" s="142"/>
      <c r="V276" s="386"/>
    </row>
    <row r="277" spans="2:20" ht="13.5" outlineLevel="1">
      <c r="B277" s="5"/>
      <c r="C277" s="261"/>
      <c r="D277" s="261" t="s">
        <v>64</v>
      </c>
      <c r="E277" s="262">
        <v>434311115</v>
      </c>
      <c r="F277" s="625" t="s">
        <v>1012</v>
      </c>
      <c r="G277" s="625"/>
      <c r="H277" s="625"/>
      <c r="I277" s="625"/>
      <c r="J277" s="174" t="s">
        <v>70</v>
      </c>
      <c r="K277" s="264">
        <f>SUM(K278:K280)</f>
        <v>55.879999999999995</v>
      </c>
      <c r="L277" s="626"/>
      <c r="M277" s="626"/>
      <c r="N277" s="619">
        <f>ROUND(L277*K277,2)</f>
        <v>0</v>
      </c>
      <c r="O277" s="619"/>
      <c r="P277" s="619"/>
      <c r="Q277" s="619"/>
      <c r="R277" s="6"/>
      <c r="T277" s="142"/>
    </row>
    <row r="278" spans="2:22" s="177" customFormat="1" ht="13.5" outlineLevel="1">
      <c r="B278" s="175"/>
      <c r="E278" s="319" t="s">
        <v>1013</v>
      </c>
      <c r="F278" s="627"/>
      <c r="G278" s="628"/>
      <c r="H278" s="628"/>
      <c r="I278" s="628"/>
      <c r="J278" s="176">
        <v>0.3</v>
      </c>
      <c r="K278" s="266">
        <f>4*1.33</f>
        <v>5.32</v>
      </c>
      <c r="L278" s="419"/>
      <c r="M278" s="419"/>
      <c r="R278" s="178"/>
      <c r="T278" s="142"/>
      <c r="V278" s="386"/>
    </row>
    <row r="279" spans="2:22" s="177" customFormat="1" ht="13.5" outlineLevel="1">
      <c r="B279" s="175"/>
      <c r="E279" s="319" t="s">
        <v>1014</v>
      </c>
      <c r="F279" s="627"/>
      <c r="G279" s="628"/>
      <c r="H279" s="628"/>
      <c r="I279" s="628"/>
      <c r="J279" s="176">
        <v>0.29</v>
      </c>
      <c r="K279" s="266">
        <f>(12+12)*1.73</f>
        <v>41.519999999999996</v>
      </c>
      <c r="L279" s="419"/>
      <c r="M279" s="419"/>
      <c r="R279" s="178"/>
      <c r="T279" s="142"/>
      <c r="V279" s="386"/>
    </row>
    <row r="280" spans="2:22" s="177" customFormat="1" ht="13.5" outlineLevel="1">
      <c r="B280" s="175"/>
      <c r="E280" s="319" t="s">
        <v>1209</v>
      </c>
      <c r="F280" s="627"/>
      <c r="G280" s="628"/>
      <c r="H280" s="628"/>
      <c r="I280" s="628"/>
      <c r="J280" s="176">
        <v>0.285</v>
      </c>
      <c r="K280" s="266">
        <f>4*2.26</f>
        <v>9.04</v>
      </c>
      <c r="L280" s="419"/>
      <c r="M280" s="419"/>
      <c r="R280" s="178"/>
      <c r="T280" s="142"/>
      <c r="V280" s="386"/>
    </row>
    <row r="281" spans="2:20" ht="13.5" outlineLevel="1">
      <c r="B281" s="5"/>
      <c r="C281" s="261"/>
      <c r="D281" s="261" t="s">
        <v>64</v>
      </c>
      <c r="E281" s="262">
        <v>434351141</v>
      </c>
      <c r="F281" s="625" t="s">
        <v>1015</v>
      </c>
      <c r="G281" s="625"/>
      <c r="H281" s="625"/>
      <c r="I281" s="625"/>
      <c r="J281" s="174" t="s">
        <v>65</v>
      </c>
      <c r="K281" s="264">
        <f>SUM(K282:K284)</f>
        <v>9.144279999999998</v>
      </c>
      <c r="L281" s="626"/>
      <c r="M281" s="626"/>
      <c r="N281" s="619">
        <f>ROUND(L281*K281,2)</f>
        <v>0</v>
      </c>
      <c r="O281" s="619"/>
      <c r="P281" s="619"/>
      <c r="Q281" s="619"/>
      <c r="R281" s="6"/>
      <c r="T281" s="142"/>
    </row>
    <row r="282" spans="2:22" s="177" customFormat="1" ht="13.5" outlineLevel="1">
      <c r="B282" s="175"/>
      <c r="E282" s="319" t="s">
        <v>1013</v>
      </c>
      <c r="F282" s="627"/>
      <c r="G282" s="628"/>
      <c r="H282" s="628"/>
      <c r="I282" s="628"/>
      <c r="J282" s="176">
        <v>0.145</v>
      </c>
      <c r="K282" s="266">
        <f>4*1.33*J282</f>
        <v>0.7714</v>
      </c>
      <c r="L282" s="419"/>
      <c r="M282" s="419"/>
      <c r="R282" s="178"/>
      <c r="T282" s="142"/>
      <c r="V282" s="386"/>
    </row>
    <row r="283" spans="2:22" s="177" customFormat="1" ht="13.5" outlineLevel="1">
      <c r="B283" s="175"/>
      <c r="E283" s="319" t="s">
        <v>1014</v>
      </c>
      <c r="F283" s="627"/>
      <c r="G283" s="628"/>
      <c r="H283" s="628"/>
      <c r="I283" s="628"/>
      <c r="J283" s="176">
        <v>0.169</v>
      </c>
      <c r="K283" s="266">
        <f>(12+12)*1.73*J283</f>
        <v>7.01688</v>
      </c>
      <c r="L283" s="419"/>
      <c r="M283" s="419"/>
      <c r="R283" s="178"/>
      <c r="T283" s="142"/>
      <c r="V283" s="386"/>
    </row>
    <row r="284" spans="2:22" s="177" customFormat="1" ht="13.5" outlineLevel="1">
      <c r="B284" s="175"/>
      <c r="E284" s="319" t="s">
        <v>1209</v>
      </c>
      <c r="F284" s="627"/>
      <c r="G284" s="628"/>
      <c r="H284" s="628"/>
      <c r="I284" s="628"/>
      <c r="J284" s="176">
        <v>0.15</v>
      </c>
      <c r="K284" s="266">
        <f>4*2.26*J284</f>
        <v>1.3559999999999999</v>
      </c>
      <c r="L284" s="419"/>
      <c r="M284" s="419"/>
      <c r="R284" s="178"/>
      <c r="T284" s="142"/>
      <c r="V284" s="386"/>
    </row>
    <row r="285" spans="2:20" ht="13.5" outlineLevel="1">
      <c r="B285" s="5"/>
      <c r="C285" s="261"/>
      <c r="D285" s="261" t="s">
        <v>64</v>
      </c>
      <c r="E285" s="262">
        <v>434351142</v>
      </c>
      <c r="F285" s="625" t="s">
        <v>1016</v>
      </c>
      <c r="G285" s="625"/>
      <c r="H285" s="625"/>
      <c r="I285" s="625"/>
      <c r="J285" s="174" t="s">
        <v>65</v>
      </c>
      <c r="K285" s="264">
        <f>K281</f>
        <v>9.144279999999998</v>
      </c>
      <c r="L285" s="626"/>
      <c r="M285" s="626"/>
      <c r="N285" s="619">
        <f>ROUND(L285*K285,2)</f>
        <v>0</v>
      </c>
      <c r="O285" s="619"/>
      <c r="P285" s="619"/>
      <c r="Q285" s="619"/>
      <c r="R285" s="6"/>
      <c r="T285" s="142"/>
    </row>
    <row r="286" spans="2:20" ht="13.5" outlineLevel="1">
      <c r="B286" s="5"/>
      <c r="C286" s="261"/>
      <c r="D286" s="261" t="s">
        <v>71</v>
      </c>
      <c r="E286" s="262" t="s">
        <v>1017</v>
      </c>
      <c r="F286" s="625" t="s">
        <v>1018</v>
      </c>
      <c r="G286" s="625"/>
      <c r="H286" s="625"/>
      <c r="I286" s="625"/>
      <c r="J286" s="174" t="s">
        <v>65</v>
      </c>
      <c r="K286" s="264">
        <f>K278*J278+K279*J279+K280*J280+K281</f>
        <v>25.357479999999995</v>
      </c>
      <c r="L286" s="626"/>
      <c r="M286" s="626"/>
      <c r="N286" s="619">
        <f>ROUND(L286*K286,2)</f>
        <v>0</v>
      </c>
      <c r="O286" s="619"/>
      <c r="P286" s="619"/>
      <c r="Q286" s="619"/>
      <c r="R286" s="6"/>
      <c r="T286" s="142"/>
    </row>
    <row r="287" spans="2:22" s="143" customFormat="1" ht="12.75">
      <c r="B287" s="139"/>
      <c r="C287" s="140"/>
      <c r="D287" s="140" t="s">
        <v>49</v>
      </c>
      <c r="E287" s="140"/>
      <c r="F287" s="140"/>
      <c r="G287" s="140"/>
      <c r="H287" s="140"/>
      <c r="I287" s="140"/>
      <c r="J287" s="172"/>
      <c r="K287" s="140"/>
      <c r="L287" s="186"/>
      <c r="M287" s="186"/>
      <c r="N287" s="633">
        <f>SUM(N288:Q361)</f>
        <v>0</v>
      </c>
      <c r="O287" s="633"/>
      <c r="P287" s="633"/>
      <c r="Q287" s="633"/>
      <c r="R287" s="141"/>
      <c r="T287" s="142">
        <f>SUM(N287:Q352)/2</f>
        <v>0</v>
      </c>
      <c r="U287" s="177"/>
      <c r="V287" s="384"/>
    </row>
    <row r="288" spans="2:28" ht="27" customHeight="1" outlineLevel="1">
      <c r="B288" s="5"/>
      <c r="C288" s="261"/>
      <c r="D288" s="261" t="s">
        <v>64</v>
      </c>
      <c r="E288" s="262">
        <v>611315418</v>
      </c>
      <c r="F288" s="625" t="s">
        <v>1057</v>
      </c>
      <c r="G288" s="625"/>
      <c r="H288" s="625"/>
      <c r="I288" s="625"/>
      <c r="J288" s="174" t="s">
        <v>65</v>
      </c>
      <c r="K288" s="264">
        <f>SUM(K289:K291)</f>
        <v>544.9899999999999</v>
      </c>
      <c r="L288" s="626"/>
      <c r="M288" s="626"/>
      <c r="N288" s="619">
        <f>ROUND(L288*K288,2)</f>
        <v>0</v>
      </c>
      <c r="O288" s="619"/>
      <c r="P288" s="619"/>
      <c r="Q288" s="619"/>
      <c r="R288" s="6"/>
      <c r="T288" s="142"/>
      <c r="V288" s="386"/>
      <c r="W288" s="177"/>
      <c r="X288" s="177"/>
      <c r="Y288" s="177"/>
      <c r="Z288" s="177"/>
      <c r="AA288" s="177"/>
      <c r="AB288" s="177"/>
    </row>
    <row r="289" spans="2:22" s="177" customFormat="1" ht="13.5" outlineLevel="1">
      <c r="B289" s="175"/>
      <c r="E289" s="319" t="s">
        <v>641</v>
      </c>
      <c r="F289" s="627" t="s">
        <v>818</v>
      </c>
      <c r="G289" s="628">
        <f>80.02-14.25+102.21+30.61+62.21-6.91</f>
        <v>253.88999999999996</v>
      </c>
      <c r="H289" s="628">
        <f>80.02-14.25+102.21+30.61+62.21-6.91</f>
        <v>253.88999999999996</v>
      </c>
      <c r="I289" s="628">
        <f>80.02-14.25+102.21+30.61+62.21-6.91</f>
        <v>253.88999999999996</v>
      </c>
      <c r="J289" s="176"/>
      <c r="K289" s="266">
        <f>80.02-14.25+102.21+30.61+62.21-6.91</f>
        <v>253.88999999999996</v>
      </c>
      <c r="L289" s="419"/>
      <c r="M289" s="419"/>
      <c r="R289" s="178"/>
      <c r="T289" s="142"/>
      <c r="V289" s="386"/>
    </row>
    <row r="290" spans="2:22" s="177" customFormat="1" ht="13.5" outlineLevel="1">
      <c r="B290" s="175"/>
      <c r="E290" s="319" t="s">
        <v>642</v>
      </c>
      <c r="F290" s="627" t="s">
        <v>819</v>
      </c>
      <c r="G290" s="628">
        <f>43.92+156.64+80.64</f>
        <v>281.2</v>
      </c>
      <c r="H290" s="628">
        <f>43.92+156.64+80.64</f>
        <v>281.2</v>
      </c>
      <c r="I290" s="628">
        <f>43.92+156.64+80.64</f>
        <v>281.2</v>
      </c>
      <c r="J290" s="176"/>
      <c r="K290" s="266">
        <f>43.92+156.64+80.64</f>
        <v>281.2</v>
      </c>
      <c r="L290" s="419"/>
      <c r="M290" s="419"/>
      <c r="R290" s="178"/>
      <c r="T290" s="142"/>
      <c r="V290" s="386"/>
    </row>
    <row r="291" spans="2:22" s="177" customFormat="1" ht="13.5" outlineLevel="1">
      <c r="B291" s="175"/>
      <c r="E291" s="319" t="s">
        <v>643</v>
      </c>
      <c r="F291" s="627" t="s">
        <v>820</v>
      </c>
      <c r="G291" s="628">
        <f>9.9</f>
        <v>9.9</v>
      </c>
      <c r="H291" s="628">
        <f>9.9</f>
        <v>9.9</v>
      </c>
      <c r="I291" s="628">
        <f>9.9</f>
        <v>9.9</v>
      </c>
      <c r="J291" s="176"/>
      <c r="K291" s="266">
        <f>9.9</f>
        <v>9.9</v>
      </c>
      <c r="L291" s="419"/>
      <c r="M291" s="419"/>
      <c r="R291" s="178"/>
      <c r="T291" s="142"/>
      <c r="V291" s="386"/>
    </row>
    <row r="292" spans="2:28" ht="27" customHeight="1" outlineLevel="1">
      <c r="B292" s="5"/>
      <c r="C292" s="261"/>
      <c r="D292" s="261" t="s">
        <v>64</v>
      </c>
      <c r="E292" s="262">
        <v>612315416</v>
      </c>
      <c r="F292" s="625" t="s">
        <v>1059</v>
      </c>
      <c r="G292" s="625"/>
      <c r="H292" s="625"/>
      <c r="I292" s="625"/>
      <c r="J292" s="174" t="s">
        <v>65</v>
      </c>
      <c r="K292" s="264">
        <f>SUM(K293)</f>
        <v>15.1</v>
      </c>
      <c r="L292" s="626"/>
      <c r="M292" s="626"/>
      <c r="N292" s="619">
        <f>ROUND(L292*K292,2)</f>
        <v>0</v>
      </c>
      <c r="O292" s="619"/>
      <c r="P292" s="619"/>
      <c r="Q292" s="619"/>
      <c r="R292" s="6"/>
      <c r="T292" s="142"/>
      <c r="V292" s="386"/>
      <c r="W292" s="177"/>
      <c r="X292" s="177"/>
      <c r="Y292" s="177"/>
      <c r="Z292" s="177"/>
      <c r="AA292" s="177"/>
      <c r="AB292" s="177"/>
    </row>
    <row r="293" spans="2:22" s="177" customFormat="1" ht="13.5" outlineLevel="1">
      <c r="B293" s="175"/>
      <c r="E293" s="319" t="s">
        <v>1060</v>
      </c>
      <c r="F293" s="627" t="s">
        <v>1061</v>
      </c>
      <c r="G293" s="628">
        <f aca="true" t="shared" si="10" ref="G293:I295">(6.66+3.62)*2*3.8+(4.57+6.66)*2*3.8+(4.9+3.7+1.3)*2*3.77+(5.9+3.7+4.7+5.9+6.1+6.6+6.3+3.2+5.6+5.4+4+2.5)*2*3</f>
        <v>597.522</v>
      </c>
      <c r="H293" s="628">
        <f t="shared" si="10"/>
        <v>597.522</v>
      </c>
      <c r="I293" s="628">
        <f t="shared" si="10"/>
        <v>597.522</v>
      </c>
      <c r="J293" s="176"/>
      <c r="K293" s="266">
        <f>15.1</f>
        <v>15.1</v>
      </c>
      <c r="L293" s="419"/>
      <c r="M293" s="419"/>
      <c r="R293" s="178"/>
      <c r="T293" s="142"/>
      <c r="V293" s="386"/>
    </row>
    <row r="294" spans="2:28" ht="27" customHeight="1" outlineLevel="1">
      <c r="B294" s="5"/>
      <c r="C294" s="261"/>
      <c r="D294" s="261" t="s">
        <v>64</v>
      </c>
      <c r="E294" s="262">
        <v>612315418</v>
      </c>
      <c r="F294" s="625" t="s">
        <v>1058</v>
      </c>
      <c r="G294" s="625"/>
      <c r="H294" s="625"/>
      <c r="I294" s="625"/>
      <c r="J294" s="174" t="s">
        <v>65</v>
      </c>
      <c r="K294" s="264">
        <f>SUM(K295:K297)</f>
        <v>1381.7740000000001</v>
      </c>
      <c r="L294" s="626"/>
      <c r="M294" s="626"/>
      <c r="N294" s="619">
        <f>ROUND(L294*K294,2)</f>
        <v>0</v>
      </c>
      <c r="O294" s="619"/>
      <c r="P294" s="619"/>
      <c r="Q294" s="619"/>
      <c r="R294" s="6"/>
      <c r="T294" s="142"/>
      <c r="V294" s="386"/>
      <c r="W294" s="177"/>
      <c r="X294" s="177"/>
      <c r="Y294" s="177"/>
      <c r="Z294" s="177"/>
      <c r="AA294" s="177"/>
      <c r="AB294" s="177"/>
    </row>
    <row r="295" spans="2:22" s="177" customFormat="1" ht="30" customHeight="1" outlineLevel="1">
      <c r="B295" s="175"/>
      <c r="E295" s="319" t="s">
        <v>645</v>
      </c>
      <c r="F295" s="627" t="s">
        <v>821</v>
      </c>
      <c r="G295" s="628">
        <f t="shared" si="10"/>
        <v>597.522</v>
      </c>
      <c r="H295" s="628">
        <f t="shared" si="10"/>
        <v>597.522</v>
      </c>
      <c r="I295" s="628">
        <f t="shared" si="10"/>
        <v>597.522</v>
      </c>
      <c r="J295" s="176"/>
      <c r="K295" s="266">
        <f>(6.66+3.62)*2*3.8+(4.57+6.66)*2*3.8+(4.9+3.7+1.3)*2*3.77+(5.9+3.7+4.7+5.9+6.1+6.6+6.3+3.2+5.6+5.4+4+2.5)*2*3</f>
        <v>597.522</v>
      </c>
      <c r="L295" s="419"/>
      <c r="M295" s="419"/>
      <c r="R295" s="178"/>
      <c r="T295" s="142"/>
      <c r="V295" s="386"/>
    </row>
    <row r="296" spans="2:22" s="177" customFormat="1" ht="37.5" customHeight="1" outlineLevel="1">
      <c r="B296" s="175"/>
      <c r="E296" s="319" t="s">
        <v>646</v>
      </c>
      <c r="F296" s="627" t="s">
        <v>822</v>
      </c>
      <c r="G296" s="628">
        <f>(5.1+5.6+2.95+5.8+5.8+3.8+11.3+1.1)*2*2.76+(4.5+5.1+5+5.2+6.9+6.3+6+3.5+5.9+5.7+3.6+4.1+7.8+1.1)*2*3.38+(3.1+4.2)*2*3.26</f>
        <v>754.332</v>
      </c>
      <c r="H296" s="628">
        <f>(5.1+5.6+2.95+5.8+5.8+3.8+11.3+1.1)*2*2.76+(4.5+5.1+5+5.2+6.9+6.3+6+3.5+5.9+5.7+3.6+4.1+7.8+1.1)*2*3.38+(3.1+4.2)*2*3.26</f>
        <v>754.332</v>
      </c>
      <c r="I296" s="628">
        <f>(5.1+5.6+2.95+5.8+5.8+3.8+11.3+1.1)*2*2.76+(4.5+5.1+5+5.2+6.9+6.3+6+3.5+5.9+5.7+3.6+4.1+7.8+1.1)*2*3.38+(3.1+4.2)*2*3.26</f>
        <v>754.332</v>
      </c>
      <c r="J296" s="176"/>
      <c r="K296" s="266">
        <f>(5.1+5.6+2.95+5.8+5.8+3.8+11.3+1.1)*2*2.76+(4.5+5.1+5+5.2+6.9+6.3+6+3.5+5.9+5.7+3.6+4.1+7.8+1.1)*2*3.38+(3.1+4.2)*2*3.26</f>
        <v>754.332</v>
      </c>
      <c r="L296" s="419"/>
      <c r="M296" s="419"/>
      <c r="R296" s="178"/>
      <c r="T296" s="142"/>
      <c r="V296" s="386"/>
    </row>
    <row r="297" spans="2:22" s="177" customFormat="1" ht="13.5" outlineLevel="1">
      <c r="B297" s="175"/>
      <c r="E297" s="319" t="s">
        <v>647</v>
      </c>
      <c r="F297" s="627" t="s">
        <v>823</v>
      </c>
      <c r="G297" s="628">
        <f>(4.2+2.6)*2*2.2</f>
        <v>29.920000000000005</v>
      </c>
      <c r="H297" s="628">
        <f>(4.2+2.6)*2*2.2</f>
        <v>29.920000000000005</v>
      </c>
      <c r="I297" s="628">
        <f>(4.2+2.6)*2*2.2</f>
        <v>29.920000000000005</v>
      </c>
      <c r="J297" s="176"/>
      <c r="K297" s="266">
        <f>(4.2+2.6)*2*2.2</f>
        <v>29.920000000000005</v>
      </c>
      <c r="L297" s="419"/>
      <c r="M297" s="419"/>
      <c r="R297" s="178"/>
      <c r="T297" s="142"/>
      <c r="V297" s="386"/>
    </row>
    <row r="298" spans="2:20" ht="13.5" outlineLevel="1">
      <c r="B298" s="5"/>
      <c r="C298" s="261"/>
      <c r="D298" s="261" t="s">
        <v>64</v>
      </c>
      <c r="E298" s="262">
        <v>612311141</v>
      </c>
      <c r="F298" s="625" t="s">
        <v>1062</v>
      </c>
      <c r="G298" s="625"/>
      <c r="H298" s="625"/>
      <c r="I298" s="625"/>
      <c r="J298" s="174" t="s">
        <v>65</v>
      </c>
      <c r="K298" s="264">
        <f>SUM(K299:K300)</f>
        <v>537.27215</v>
      </c>
      <c r="L298" s="626"/>
      <c r="M298" s="626"/>
      <c r="N298" s="619">
        <f>ROUND(L298*K298,2)</f>
        <v>0</v>
      </c>
      <c r="O298" s="619"/>
      <c r="P298" s="619"/>
      <c r="Q298" s="619"/>
      <c r="R298" s="6"/>
      <c r="T298" s="142"/>
    </row>
    <row r="299" spans="2:22" s="177" customFormat="1" ht="13.5" outlineLevel="1">
      <c r="B299" s="175"/>
      <c r="E299" s="319" t="s">
        <v>411</v>
      </c>
      <c r="F299" s="627" t="s">
        <v>2307</v>
      </c>
      <c r="G299" s="628">
        <f aca="true" t="shared" si="11" ref="G299:I300">7.8*4.4-7.35+10.9*0.2+11.2*0.13</f>
        <v>30.605999999999998</v>
      </c>
      <c r="H299" s="628">
        <f t="shared" si="11"/>
        <v>30.605999999999998</v>
      </c>
      <c r="I299" s="628">
        <f t="shared" si="11"/>
        <v>30.605999999999998</v>
      </c>
      <c r="J299" s="176"/>
      <c r="K299" s="266">
        <f>K196</f>
        <v>170.81085000000002</v>
      </c>
      <c r="L299" s="419"/>
      <c r="M299" s="419"/>
      <c r="R299" s="178"/>
      <c r="T299" s="142"/>
      <c r="V299" s="386"/>
    </row>
    <row r="300" spans="2:22" s="177" customFormat="1" ht="13.5" outlineLevel="1">
      <c r="B300" s="175"/>
      <c r="E300" s="319" t="s">
        <v>439</v>
      </c>
      <c r="F300" s="627" t="s">
        <v>2308</v>
      </c>
      <c r="G300" s="628">
        <f t="shared" si="11"/>
        <v>30.605999999999998</v>
      </c>
      <c r="H300" s="628">
        <f t="shared" si="11"/>
        <v>30.605999999999998</v>
      </c>
      <c r="I300" s="628">
        <f t="shared" si="11"/>
        <v>30.605999999999998</v>
      </c>
      <c r="J300" s="176"/>
      <c r="K300" s="266">
        <f>(K192+K222+K226+K232)*2</f>
        <v>366.46129999999994</v>
      </c>
      <c r="L300" s="419"/>
      <c r="M300" s="419"/>
      <c r="R300" s="178"/>
      <c r="T300" s="142"/>
      <c r="V300" s="386"/>
    </row>
    <row r="301" spans="2:20" ht="13.5" outlineLevel="1">
      <c r="B301" s="5"/>
      <c r="C301" s="261"/>
      <c r="D301" s="261" t="s">
        <v>64</v>
      </c>
      <c r="E301" s="262">
        <v>622325111</v>
      </c>
      <c r="F301" s="625" t="s">
        <v>1063</v>
      </c>
      <c r="G301" s="625"/>
      <c r="H301" s="625"/>
      <c r="I301" s="625"/>
      <c r="J301" s="174" t="s">
        <v>65</v>
      </c>
      <c r="K301" s="264">
        <f>SUM(K302:K305)</f>
        <v>717</v>
      </c>
      <c r="L301" s="626"/>
      <c r="M301" s="626"/>
      <c r="N301" s="619">
        <f>ROUND(L301*K301,2)</f>
        <v>0</v>
      </c>
      <c r="O301" s="619"/>
      <c r="P301" s="619"/>
      <c r="Q301" s="619"/>
      <c r="R301" s="6"/>
      <c r="T301" s="142"/>
    </row>
    <row r="302" spans="2:22" s="177" customFormat="1" ht="13.5" outlineLevel="1">
      <c r="B302" s="175"/>
      <c r="E302" s="319" t="s">
        <v>1064</v>
      </c>
      <c r="F302" s="627"/>
      <c r="G302" s="628"/>
      <c r="H302" s="628"/>
      <c r="I302" s="628"/>
      <c r="J302" s="176"/>
      <c r="K302" s="266">
        <f>74+43</f>
        <v>117</v>
      </c>
      <c r="L302" s="419"/>
      <c r="M302" s="419"/>
      <c r="R302" s="178"/>
      <c r="T302" s="142"/>
      <c r="V302" s="386"/>
    </row>
    <row r="303" spans="2:22" s="177" customFormat="1" ht="13.5" outlineLevel="1">
      <c r="B303" s="175"/>
      <c r="E303" s="319" t="s">
        <v>1065</v>
      </c>
      <c r="F303" s="627"/>
      <c r="G303" s="628"/>
      <c r="H303" s="628"/>
      <c r="I303" s="628"/>
      <c r="J303" s="176"/>
      <c r="K303" s="266">
        <f>149+4*2.5+2*6+2*5.5</f>
        <v>182</v>
      </c>
      <c r="L303" s="419"/>
      <c r="M303" s="419"/>
      <c r="R303" s="178"/>
      <c r="T303" s="142"/>
      <c r="V303" s="386"/>
    </row>
    <row r="304" spans="2:22" s="177" customFormat="1" ht="13.5" outlineLevel="1">
      <c r="B304" s="175"/>
      <c r="E304" s="319" t="s">
        <v>1066</v>
      </c>
      <c r="F304" s="627"/>
      <c r="G304" s="628"/>
      <c r="H304" s="628"/>
      <c r="I304" s="628"/>
      <c r="J304" s="176"/>
      <c r="K304" s="266">
        <f>218</f>
        <v>218</v>
      </c>
      <c r="L304" s="419"/>
      <c r="M304" s="419"/>
      <c r="R304" s="178"/>
      <c r="T304" s="142"/>
      <c r="V304" s="386"/>
    </row>
    <row r="305" spans="2:22" s="177" customFormat="1" ht="13.5" outlineLevel="1">
      <c r="B305" s="175"/>
      <c r="E305" s="319" t="s">
        <v>1067</v>
      </c>
      <c r="F305" s="627"/>
      <c r="G305" s="628"/>
      <c r="H305" s="628"/>
      <c r="I305" s="628"/>
      <c r="J305" s="176"/>
      <c r="K305" s="266">
        <f>84+116</f>
        <v>200</v>
      </c>
      <c r="L305" s="419"/>
      <c r="M305" s="419"/>
      <c r="R305" s="178"/>
      <c r="T305" s="142"/>
      <c r="V305" s="386"/>
    </row>
    <row r="306" spans="2:20" ht="13.5" outlineLevel="1">
      <c r="B306" s="5"/>
      <c r="C306" s="261"/>
      <c r="D306" s="261" t="s">
        <v>64</v>
      </c>
      <c r="E306" s="262">
        <v>622131121</v>
      </c>
      <c r="F306" s="625" t="s">
        <v>409</v>
      </c>
      <c r="G306" s="625"/>
      <c r="H306" s="625"/>
      <c r="I306" s="625"/>
      <c r="J306" s="174" t="s">
        <v>65</v>
      </c>
      <c r="K306" s="264">
        <f>SUM(K307:K307)</f>
        <v>170.81085000000002</v>
      </c>
      <c r="L306" s="626"/>
      <c r="M306" s="626"/>
      <c r="N306" s="619">
        <f>ROUND(L306*K306,2)</f>
        <v>0</v>
      </c>
      <c r="O306" s="619"/>
      <c r="P306" s="619"/>
      <c r="Q306" s="619"/>
      <c r="R306" s="6"/>
      <c r="T306" s="142"/>
    </row>
    <row r="307" spans="2:22" s="177" customFormat="1" ht="11.25" customHeight="1" outlineLevel="1">
      <c r="B307" s="175"/>
      <c r="E307" s="319" t="s">
        <v>411</v>
      </c>
      <c r="F307" s="627" t="s">
        <v>194</v>
      </c>
      <c r="G307" s="628">
        <f>7.8*4.4-7.35+10.9*0.2+11.2*0.13</f>
        <v>30.605999999999998</v>
      </c>
      <c r="H307" s="628">
        <f>7.8*4.4-7.35+10.9*0.2+11.2*0.13</f>
        <v>30.605999999999998</v>
      </c>
      <c r="I307" s="628">
        <f>7.8*4.4-7.35+10.9*0.2+11.2*0.13</f>
        <v>30.605999999999998</v>
      </c>
      <c r="J307" s="176"/>
      <c r="K307" s="266">
        <f>K299</f>
        <v>170.81085000000002</v>
      </c>
      <c r="L307" s="419"/>
      <c r="M307" s="419"/>
      <c r="R307" s="178"/>
      <c r="T307" s="142"/>
      <c r="V307" s="386"/>
    </row>
    <row r="308" spans="2:20" ht="13.5" outlineLevel="1">
      <c r="B308" s="5"/>
      <c r="C308" s="261"/>
      <c r="D308" s="261" t="s">
        <v>64</v>
      </c>
      <c r="E308" s="262">
        <v>622811002</v>
      </c>
      <c r="F308" s="625" t="s">
        <v>1068</v>
      </c>
      <c r="G308" s="625"/>
      <c r="H308" s="625"/>
      <c r="I308" s="625"/>
      <c r="J308" s="174" t="s">
        <v>65</v>
      </c>
      <c r="K308" s="264">
        <f>SUM(K309:K309)</f>
        <v>170.81085000000002</v>
      </c>
      <c r="L308" s="626"/>
      <c r="M308" s="626"/>
      <c r="N308" s="619">
        <f>ROUND(L308*K308,2)</f>
        <v>0</v>
      </c>
      <c r="O308" s="619"/>
      <c r="P308" s="619"/>
      <c r="Q308" s="619"/>
      <c r="R308" s="6"/>
      <c r="T308" s="142"/>
    </row>
    <row r="309" spans="2:22" s="177" customFormat="1" ht="13.5" outlineLevel="1">
      <c r="B309" s="175"/>
      <c r="E309" s="319" t="s">
        <v>411</v>
      </c>
      <c r="F309" s="627" t="s">
        <v>246</v>
      </c>
      <c r="G309" s="628"/>
      <c r="H309" s="628"/>
      <c r="I309" s="628"/>
      <c r="J309" s="176"/>
      <c r="K309" s="266">
        <f>K307</f>
        <v>170.81085000000002</v>
      </c>
      <c r="L309" s="419"/>
      <c r="M309" s="419"/>
      <c r="R309" s="178"/>
      <c r="T309" s="142"/>
      <c r="V309" s="386"/>
    </row>
    <row r="310" spans="2:20" ht="13.5" outlineLevel="1">
      <c r="B310" s="5"/>
      <c r="C310" s="261"/>
      <c r="D310" s="261" t="s">
        <v>64</v>
      </c>
      <c r="E310" s="262" t="s">
        <v>1069</v>
      </c>
      <c r="F310" s="625" t="s">
        <v>1070</v>
      </c>
      <c r="G310" s="625"/>
      <c r="H310" s="625"/>
      <c r="I310" s="625"/>
      <c r="J310" s="174" t="s">
        <v>65</v>
      </c>
      <c r="K310" s="264">
        <f>SUM(K311:K311)</f>
        <v>170.81085000000002</v>
      </c>
      <c r="L310" s="626"/>
      <c r="M310" s="626"/>
      <c r="N310" s="619">
        <f>ROUND(L310*K310,2)</f>
        <v>0</v>
      </c>
      <c r="O310" s="619"/>
      <c r="P310" s="619"/>
      <c r="Q310" s="619"/>
      <c r="R310" s="6"/>
      <c r="T310" s="142"/>
    </row>
    <row r="311" spans="2:22" s="177" customFormat="1" ht="13.5" outlineLevel="1">
      <c r="B311" s="175"/>
      <c r="E311" s="319" t="s">
        <v>411</v>
      </c>
      <c r="F311" s="627" t="s">
        <v>246</v>
      </c>
      <c r="G311" s="628"/>
      <c r="H311" s="628"/>
      <c r="I311" s="628"/>
      <c r="J311" s="176"/>
      <c r="K311" s="266">
        <f>K309</f>
        <v>170.81085000000002</v>
      </c>
      <c r="L311" s="419"/>
      <c r="M311" s="419"/>
      <c r="R311" s="178"/>
      <c r="T311" s="142"/>
      <c r="V311" s="386"/>
    </row>
    <row r="312" spans="2:20" ht="13.5" outlineLevel="1">
      <c r="B312" s="5"/>
      <c r="C312" s="261"/>
      <c r="D312" s="261" t="s">
        <v>64</v>
      </c>
      <c r="E312" s="262">
        <v>622381002</v>
      </c>
      <c r="F312" s="625" t="s">
        <v>1071</v>
      </c>
      <c r="G312" s="625"/>
      <c r="H312" s="625"/>
      <c r="I312" s="625"/>
      <c r="J312" s="174" t="s">
        <v>65</v>
      </c>
      <c r="K312" s="264">
        <f>SUM(K313:K313)</f>
        <v>170.81085000000002</v>
      </c>
      <c r="L312" s="626"/>
      <c r="M312" s="626"/>
      <c r="N312" s="619">
        <f>ROUND(L312*K312,2)</f>
        <v>0</v>
      </c>
      <c r="O312" s="619"/>
      <c r="P312" s="619"/>
      <c r="Q312" s="619"/>
      <c r="R312" s="6"/>
      <c r="T312" s="142"/>
    </row>
    <row r="313" spans="2:22" s="177" customFormat="1" ht="13.5" outlineLevel="1">
      <c r="B313" s="175"/>
      <c r="E313" s="319" t="s">
        <v>411</v>
      </c>
      <c r="F313" s="627" t="s">
        <v>246</v>
      </c>
      <c r="G313" s="628"/>
      <c r="H313" s="628"/>
      <c r="I313" s="628"/>
      <c r="J313" s="176"/>
      <c r="K313" s="266">
        <f>K311</f>
        <v>170.81085000000002</v>
      </c>
      <c r="L313" s="419"/>
      <c r="M313" s="419"/>
      <c r="R313" s="178"/>
      <c r="T313" s="142"/>
      <c r="V313" s="386"/>
    </row>
    <row r="314" spans="2:20" ht="27" customHeight="1" outlineLevel="1">
      <c r="B314" s="5"/>
      <c r="C314" s="261"/>
      <c r="D314" s="261" t="s">
        <v>64</v>
      </c>
      <c r="E314" s="262" t="s">
        <v>1090</v>
      </c>
      <c r="F314" s="625" t="s">
        <v>1091</v>
      </c>
      <c r="G314" s="625"/>
      <c r="H314" s="625"/>
      <c r="I314" s="625"/>
      <c r="J314" s="174" t="s">
        <v>65</v>
      </c>
      <c r="K314" s="264">
        <f>SUM(K315:K316)</f>
        <v>80.565</v>
      </c>
      <c r="L314" s="626"/>
      <c r="M314" s="626"/>
      <c r="N314" s="619">
        <f>ROUND(L314*K314,2)</f>
        <v>0</v>
      </c>
      <c r="O314" s="619"/>
      <c r="P314" s="619"/>
      <c r="Q314" s="619"/>
      <c r="R314" s="6"/>
      <c r="T314" s="142"/>
    </row>
    <row r="315" spans="2:22" s="177" customFormat="1" ht="13.5" outlineLevel="1">
      <c r="B315" s="175"/>
      <c r="E315" s="319" t="s">
        <v>1092</v>
      </c>
      <c r="F315" s="627"/>
      <c r="G315" s="628"/>
      <c r="H315" s="628"/>
      <c r="I315" s="628"/>
      <c r="J315" s="176">
        <v>120</v>
      </c>
      <c r="K315" s="266">
        <f>33.9</f>
        <v>33.9</v>
      </c>
      <c r="L315" s="419"/>
      <c r="M315" s="419"/>
      <c r="R315" s="178"/>
      <c r="T315" s="142"/>
      <c r="V315" s="386"/>
    </row>
    <row r="316" spans="2:22" s="177" customFormat="1" ht="13.5" outlineLevel="1">
      <c r="B316" s="175"/>
      <c r="E316" s="319" t="s">
        <v>1093</v>
      </c>
      <c r="F316" s="627"/>
      <c r="G316" s="628"/>
      <c r="H316" s="628"/>
      <c r="I316" s="628"/>
      <c r="J316" s="176">
        <v>100</v>
      </c>
      <c r="K316" s="266">
        <f>(3.5*2+5.9)*3+(2.7+2.5+2.7+2.5+7.3)*0.45</f>
        <v>46.665000000000006</v>
      </c>
      <c r="L316" s="419"/>
      <c r="M316" s="419"/>
      <c r="R316" s="178"/>
      <c r="T316" s="142"/>
      <c r="V316" s="386"/>
    </row>
    <row r="317" spans="2:20" ht="11.25" customHeight="1" outlineLevel="1">
      <c r="B317" s="5"/>
      <c r="C317" s="267"/>
      <c r="D317" s="267" t="s">
        <v>67</v>
      </c>
      <c r="E317" s="320">
        <v>63152234</v>
      </c>
      <c r="F317" s="651" t="s">
        <v>1094</v>
      </c>
      <c r="G317" s="651"/>
      <c r="H317" s="651"/>
      <c r="I317" s="651"/>
      <c r="J317" s="179" t="s">
        <v>65</v>
      </c>
      <c r="K317" s="268">
        <f>K316</f>
        <v>46.665000000000006</v>
      </c>
      <c r="L317" s="652"/>
      <c r="M317" s="652"/>
      <c r="N317" s="653">
        <f aca="true" t="shared" si="12" ref="N317:N322">ROUND(L317*K317,2)</f>
        <v>0</v>
      </c>
      <c r="O317" s="619"/>
      <c r="P317" s="619"/>
      <c r="Q317" s="619"/>
      <c r="R317" s="6"/>
      <c r="T317" s="142"/>
    </row>
    <row r="318" spans="2:20" ht="11.25" customHeight="1" outlineLevel="1">
      <c r="B318" s="5"/>
      <c r="C318" s="267"/>
      <c r="D318" s="267" t="s">
        <v>67</v>
      </c>
      <c r="E318" s="320" t="s">
        <v>1095</v>
      </c>
      <c r="F318" s="651" t="s">
        <v>1096</v>
      </c>
      <c r="G318" s="651"/>
      <c r="H318" s="651"/>
      <c r="I318" s="651"/>
      <c r="J318" s="179" t="s">
        <v>65</v>
      </c>
      <c r="K318" s="268">
        <f>K315</f>
        <v>33.9</v>
      </c>
      <c r="L318" s="652"/>
      <c r="M318" s="652"/>
      <c r="N318" s="653">
        <f t="shared" si="12"/>
        <v>0</v>
      </c>
      <c r="O318" s="619"/>
      <c r="P318" s="619"/>
      <c r="Q318" s="619"/>
      <c r="R318" s="6"/>
      <c r="T318" s="142"/>
    </row>
    <row r="319" spans="2:20" ht="13.5" outlineLevel="1">
      <c r="B319" s="5"/>
      <c r="C319" s="261"/>
      <c r="D319" s="261" t="s">
        <v>64</v>
      </c>
      <c r="E319" s="262">
        <v>612131121</v>
      </c>
      <c r="F319" s="625" t="s">
        <v>2309</v>
      </c>
      <c r="G319" s="625"/>
      <c r="H319" s="625"/>
      <c r="I319" s="625"/>
      <c r="J319" s="174" t="s">
        <v>65</v>
      </c>
      <c r="K319" s="264">
        <f>K314</f>
        <v>80.565</v>
      </c>
      <c r="L319" s="626"/>
      <c r="M319" s="626"/>
      <c r="N319" s="619">
        <f t="shared" si="12"/>
        <v>0</v>
      </c>
      <c r="O319" s="619"/>
      <c r="P319" s="619"/>
      <c r="Q319" s="619"/>
      <c r="R319" s="6"/>
      <c r="T319" s="142"/>
    </row>
    <row r="320" spans="2:20" ht="13.5" outlineLevel="1">
      <c r="B320" s="5"/>
      <c r="C320" s="261"/>
      <c r="D320" s="261" t="s">
        <v>64</v>
      </c>
      <c r="E320" s="262">
        <v>612142001</v>
      </c>
      <c r="F320" s="625" t="s">
        <v>1097</v>
      </c>
      <c r="G320" s="625"/>
      <c r="H320" s="625"/>
      <c r="I320" s="625"/>
      <c r="J320" s="174" t="s">
        <v>65</v>
      </c>
      <c r="K320" s="264">
        <f>K314</f>
        <v>80.565</v>
      </c>
      <c r="L320" s="626"/>
      <c r="M320" s="626"/>
      <c r="N320" s="619">
        <f t="shared" si="12"/>
        <v>0</v>
      </c>
      <c r="O320" s="619"/>
      <c r="P320" s="619"/>
      <c r="Q320" s="619"/>
      <c r="R320" s="6"/>
      <c r="T320" s="142"/>
    </row>
    <row r="321" spans="2:20" ht="13.5" outlineLevel="1">
      <c r="B321" s="5"/>
      <c r="C321" s="261"/>
      <c r="D321" s="261" t="s">
        <v>64</v>
      </c>
      <c r="E321" s="262">
        <v>612381006</v>
      </c>
      <c r="F321" s="625" t="s">
        <v>1098</v>
      </c>
      <c r="G321" s="625"/>
      <c r="H321" s="625"/>
      <c r="I321" s="625"/>
      <c r="J321" s="174" t="s">
        <v>65</v>
      </c>
      <c r="K321" s="264">
        <f>K320</f>
        <v>80.565</v>
      </c>
      <c r="L321" s="626"/>
      <c r="M321" s="626"/>
      <c r="N321" s="619">
        <f t="shared" si="12"/>
        <v>0</v>
      </c>
      <c r="O321" s="619"/>
      <c r="P321" s="619"/>
      <c r="Q321" s="619"/>
      <c r="R321" s="6"/>
      <c r="T321" s="142"/>
    </row>
    <row r="322" spans="2:20" ht="13.5" outlineLevel="1">
      <c r="B322" s="5"/>
      <c r="C322" s="261"/>
      <c r="D322" s="261" t="s">
        <v>64</v>
      </c>
      <c r="E322" s="262">
        <v>632481213</v>
      </c>
      <c r="F322" s="625" t="s">
        <v>414</v>
      </c>
      <c r="G322" s="625"/>
      <c r="H322" s="625"/>
      <c r="I322" s="625"/>
      <c r="J322" s="174" t="s">
        <v>65</v>
      </c>
      <c r="K322" s="264">
        <f>SUM(K323:K331)</f>
        <v>347.07000000000005</v>
      </c>
      <c r="L322" s="626"/>
      <c r="M322" s="626"/>
      <c r="N322" s="619">
        <f t="shared" si="12"/>
        <v>0</v>
      </c>
      <c r="O322" s="619"/>
      <c r="P322" s="619"/>
      <c r="Q322" s="619"/>
      <c r="R322" s="6"/>
      <c r="T322" s="142"/>
    </row>
    <row r="323" spans="2:22" s="177" customFormat="1" ht="13.5" outlineLevel="1">
      <c r="B323" s="175"/>
      <c r="E323" s="319" t="s">
        <v>1078</v>
      </c>
      <c r="F323" s="627" t="s">
        <v>113</v>
      </c>
      <c r="G323" s="628"/>
      <c r="H323" s="628"/>
      <c r="I323" s="628"/>
      <c r="J323" s="176">
        <v>1</v>
      </c>
      <c r="K323" s="266">
        <f>20+17.25+40.52+27.72+22.76+30.61</f>
        <v>158.86</v>
      </c>
      <c r="L323" s="419"/>
      <c r="M323" s="419"/>
      <c r="R323" s="178"/>
      <c r="T323" s="142"/>
      <c r="V323" s="386"/>
    </row>
    <row r="324" spans="2:22" s="177" customFormat="1" ht="11.25" customHeight="1" outlineLevel="1">
      <c r="B324" s="175"/>
      <c r="E324" s="319" t="s">
        <v>1077</v>
      </c>
      <c r="F324" s="627" t="s">
        <v>113</v>
      </c>
      <c r="G324" s="628"/>
      <c r="H324" s="628"/>
      <c r="I324" s="628"/>
      <c r="J324" s="176">
        <v>1</v>
      </c>
      <c r="K324" s="266">
        <f>4.51+2.89+2.55+1.58+1.17*2+3.28+3.02+4.24+28.19+23.93+1.47+1.54</f>
        <v>79.54</v>
      </c>
      <c r="L324" s="419"/>
      <c r="M324" s="419"/>
      <c r="R324" s="178"/>
      <c r="T324" s="142"/>
      <c r="V324" s="386"/>
    </row>
    <row r="325" spans="2:22" s="177" customFormat="1" ht="11.25" customHeight="1" outlineLevel="1">
      <c r="B325" s="175"/>
      <c r="E325" s="319" t="s">
        <v>1079</v>
      </c>
      <c r="F325" s="627" t="s">
        <v>113</v>
      </c>
      <c r="G325" s="628"/>
      <c r="H325" s="628"/>
      <c r="I325" s="628"/>
      <c r="J325" s="176">
        <v>1</v>
      </c>
      <c r="K325" s="266">
        <f>27.54+2.07</f>
        <v>29.61</v>
      </c>
      <c r="L325" s="419"/>
      <c r="M325" s="419"/>
      <c r="R325" s="178"/>
      <c r="T325" s="142"/>
      <c r="V325" s="386"/>
    </row>
    <row r="326" spans="2:22" s="177" customFormat="1" ht="11.25" customHeight="1" outlineLevel="1">
      <c r="B326" s="175"/>
      <c r="E326" s="319" t="s">
        <v>1080</v>
      </c>
      <c r="F326" s="627" t="s">
        <v>113</v>
      </c>
      <c r="G326" s="628"/>
      <c r="H326" s="628"/>
      <c r="I326" s="628"/>
      <c r="J326" s="176">
        <v>1</v>
      </c>
      <c r="K326" s="266">
        <f>3.03+4.4+7.62+6.73+2.36</f>
        <v>24.14</v>
      </c>
      <c r="L326" s="419"/>
      <c r="M326" s="419"/>
      <c r="R326" s="178"/>
      <c r="T326" s="142"/>
      <c r="V326" s="386"/>
    </row>
    <row r="327" spans="2:22" s="177" customFormat="1" ht="11.25" customHeight="1" outlineLevel="1">
      <c r="B327" s="175"/>
      <c r="E327" s="319" t="s">
        <v>1081</v>
      </c>
      <c r="F327" s="627" t="s">
        <v>113</v>
      </c>
      <c r="G327" s="628"/>
      <c r="H327" s="628"/>
      <c r="I327" s="628"/>
      <c r="J327" s="176">
        <v>1</v>
      </c>
      <c r="K327" s="266">
        <f>2*1.33</f>
        <v>2.66</v>
      </c>
      <c r="L327" s="419"/>
      <c r="M327" s="419"/>
      <c r="R327" s="178"/>
      <c r="T327" s="142"/>
      <c r="V327" s="386"/>
    </row>
    <row r="328" spans="2:22" s="177" customFormat="1" ht="11.25" customHeight="1" outlineLevel="1">
      <c r="B328" s="175"/>
      <c r="E328" s="319" t="s">
        <v>1082</v>
      </c>
      <c r="F328" s="627" t="s">
        <v>113</v>
      </c>
      <c r="G328" s="628"/>
      <c r="H328" s="628"/>
      <c r="I328" s="628"/>
      <c r="J328" s="176">
        <v>1</v>
      </c>
      <c r="K328" s="266">
        <f>4.39+1.6+1.63+1.58+2.1+5.77+2.26+1.87</f>
        <v>21.2</v>
      </c>
      <c r="L328" s="419"/>
      <c r="M328" s="419"/>
      <c r="R328" s="178"/>
      <c r="T328" s="142"/>
      <c r="V328" s="386"/>
    </row>
    <row r="329" spans="2:22" s="177" customFormat="1" ht="11.25" customHeight="1" outlineLevel="1">
      <c r="B329" s="175"/>
      <c r="E329" s="319" t="s">
        <v>1083</v>
      </c>
      <c r="F329" s="627" t="s">
        <v>113</v>
      </c>
      <c r="G329" s="628"/>
      <c r="H329" s="628"/>
      <c r="I329" s="628"/>
      <c r="J329" s="176">
        <v>1</v>
      </c>
      <c r="K329" s="266">
        <f>9.9</f>
        <v>9.9</v>
      </c>
      <c r="L329" s="419"/>
      <c r="M329" s="419"/>
      <c r="R329" s="178"/>
      <c r="T329" s="142"/>
      <c r="V329" s="386"/>
    </row>
    <row r="330" spans="2:22" s="177" customFormat="1" ht="11.25" customHeight="1" outlineLevel="1">
      <c r="B330" s="175"/>
      <c r="E330" s="319" t="s">
        <v>923</v>
      </c>
      <c r="F330" s="627" t="s">
        <v>113</v>
      </c>
      <c r="G330" s="628"/>
      <c r="H330" s="628"/>
      <c r="I330" s="628"/>
      <c r="J330" s="176">
        <v>1</v>
      </c>
      <c r="K330" s="266">
        <f>14.25</f>
        <v>14.25</v>
      </c>
      <c r="L330" s="419"/>
      <c r="M330" s="419"/>
      <c r="R330" s="178"/>
      <c r="T330" s="142"/>
      <c r="V330" s="386"/>
    </row>
    <row r="331" spans="2:22" s="177" customFormat="1" ht="11.25" customHeight="1" outlineLevel="1">
      <c r="B331" s="175"/>
      <c r="E331" s="319" t="s">
        <v>924</v>
      </c>
      <c r="F331" s="627" t="s">
        <v>113</v>
      </c>
      <c r="G331" s="628"/>
      <c r="H331" s="628"/>
      <c r="I331" s="628"/>
      <c r="J331" s="176">
        <v>1</v>
      </c>
      <c r="K331" s="266">
        <v>6.91</v>
      </c>
      <c r="L331" s="419"/>
      <c r="M331" s="419"/>
      <c r="R331" s="178"/>
      <c r="T331" s="142"/>
      <c r="V331" s="386"/>
    </row>
    <row r="332" spans="2:20" ht="13.5" outlineLevel="1">
      <c r="B332" s="5"/>
      <c r="C332" s="261"/>
      <c r="D332" s="261" t="s">
        <v>64</v>
      </c>
      <c r="E332" s="262">
        <v>632481215</v>
      </c>
      <c r="F332" s="625" t="s">
        <v>412</v>
      </c>
      <c r="G332" s="625"/>
      <c r="H332" s="625"/>
      <c r="I332" s="625"/>
      <c r="J332" s="174" t="s">
        <v>65</v>
      </c>
      <c r="K332" s="264">
        <f>SUM(K333:K333)</f>
        <v>12.87</v>
      </c>
      <c r="L332" s="626"/>
      <c r="M332" s="626"/>
      <c r="N332" s="619">
        <f>ROUND(L332*K332,2)</f>
        <v>0</v>
      </c>
      <c r="O332" s="619"/>
      <c r="P332" s="619"/>
      <c r="Q332" s="619"/>
      <c r="R332" s="6"/>
      <c r="T332" s="142"/>
    </row>
    <row r="333" spans="2:22" s="177" customFormat="1" ht="13.5" outlineLevel="1">
      <c r="B333" s="175"/>
      <c r="E333" s="319" t="s">
        <v>1084</v>
      </c>
      <c r="F333" s="627" t="s">
        <v>113</v>
      </c>
      <c r="G333" s="628"/>
      <c r="H333" s="628"/>
      <c r="I333" s="628"/>
      <c r="J333" s="176"/>
      <c r="K333" s="266">
        <f>12.87</f>
        <v>12.87</v>
      </c>
      <c r="L333" s="419"/>
      <c r="M333" s="419"/>
      <c r="R333" s="178"/>
      <c r="T333" s="142"/>
      <c r="V333" s="386"/>
    </row>
    <row r="334" spans="2:20" ht="13.5" outlineLevel="1">
      <c r="B334" s="5"/>
      <c r="C334" s="261"/>
      <c r="D334" s="261" t="s">
        <v>64</v>
      </c>
      <c r="E334" s="262">
        <v>635211121</v>
      </c>
      <c r="F334" s="625" t="s">
        <v>413</v>
      </c>
      <c r="G334" s="625"/>
      <c r="H334" s="625"/>
      <c r="I334" s="625"/>
      <c r="J334" s="174" t="s">
        <v>66</v>
      </c>
      <c r="K334" s="264">
        <f>SUM(K335:K336)</f>
        <v>2.5327</v>
      </c>
      <c r="L334" s="626"/>
      <c r="M334" s="626"/>
      <c r="N334" s="619">
        <f>ROUND(L334*K334,2)</f>
        <v>0</v>
      </c>
      <c r="O334" s="619"/>
      <c r="P334" s="619"/>
      <c r="Q334" s="619"/>
      <c r="R334" s="6"/>
      <c r="T334" s="142"/>
    </row>
    <row r="335" spans="2:22" s="177" customFormat="1" ht="11.25" customHeight="1" outlineLevel="1">
      <c r="B335" s="175"/>
      <c r="E335" s="319" t="s">
        <v>1081</v>
      </c>
      <c r="F335" s="627" t="s">
        <v>113</v>
      </c>
      <c r="G335" s="628"/>
      <c r="H335" s="628"/>
      <c r="I335" s="628"/>
      <c r="J335" s="176">
        <v>0.245</v>
      </c>
      <c r="K335" s="266">
        <f>2*1.33*J335</f>
        <v>0.6517000000000001</v>
      </c>
      <c r="L335" s="419"/>
      <c r="M335" s="419"/>
      <c r="R335" s="178"/>
      <c r="T335" s="142"/>
      <c r="V335" s="386"/>
    </row>
    <row r="336" spans="2:22" s="177" customFormat="1" ht="11.25" customHeight="1" outlineLevel="1">
      <c r="B336" s="175"/>
      <c r="E336" s="319" t="s">
        <v>1083</v>
      </c>
      <c r="F336" s="627" t="s">
        <v>113</v>
      </c>
      <c r="G336" s="628"/>
      <c r="H336" s="628"/>
      <c r="I336" s="628"/>
      <c r="J336" s="176">
        <v>0.19</v>
      </c>
      <c r="K336" s="266">
        <f>9.9*J336</f>
        <v>1.881</v>
      </c>
      <c r="L336" s="419"/>
      <c r="M336" s="419"/>
      <c r="R336" s="178"/>
      <c r="T336" s="142"/>
      <c r="V336" s="386"/>
    </row>
    <row r="337" spans="2:20" ht="27" customHeight="1" outlineLevel="1">
      <c r="B337" s="5"/>
      <c r="C337" s="261"/>
      <c r="D337" s="261" t="s">
        <v>64</v>
      </c>
      <c r="E337" s="262">
        <v>631311115</v>
      </c>
      <c r="F337" s="625" t="s">
        <v>247</v>
      </c>
      <c r="G337" s="625"/>
      <c r="H337" s="625"/>
      <c r="I337" s="625"/>
      <c r="J337" s="174" t="s">
        <v>66</v>
      </c>
      <c r="K337" s="264">
        <f>SUM(K339:K351)</f>
        <v>23.937200000000004</v>
      </c>
      <c r="L337" s="626"/>
      <c r="M337" s="626"/>
      <c r="N337" s="619">
        <f>ROUND(L337*K337,2)</f>
        <v>0</v>
      </c>
      <c r="O337" s="619"/>
      <c r="P337" s="619"/>
      <c r="Q337" s="619"/>
      <c r="R337" s="6"/>
      <c r="T337" s="142"/>
    </row>
    <row r="338" spans="2:22" s="326" customFormat="1" ht="11.25" customHeight="1" outlineLevel="1">
      <c r="B338" s="330"/>
      <c r="E338" s="680" t="s">
        <v>1085</v>
      </c>
      <c r="F338" s="680"/>
      <c r="G338" s="680"/>
      <c r="H338" s="680"/>
      <c r="I338" s="680"/>
      <c r="J338" s="332"/>
      <c r="K338" s="401"/>
      <c r="L338" s="421"/>
      <c r="M338" s="421"/>
      <c r="R338" s="331"/>
      <c r="T338" s="325"/>
      <c r="V338" s="387"/>
    </row>
    <row r="339" spans="2:22" s="177" customFormat="1" ht="11.25" customHeight="1" outlineLevel="1">
      <c r="B339" s="175"/>
      <c r="E339" s="319" t="s">
        <v>922</v>
      </c>
      <c r="F339" s="627" t="s">
        <v>113</v>
      </c>
      <c r="G339" s="628"/>
      <c r="H339" s="628"/>
      <c r="I339" s="628"/>
      <c r="J339" s="176">
        <v>0.05</v>
      </c>
      <c r="K339" s="266">
        <f>(4.24+1.81)*J339</f>
        <v>0.30250000000000005</v>
      </c>
      <c r="L339" s="419"/>
      <c r="M339" s="419"/>
      <c r="R339" s="178"/>
      <c r="T339" s="142"/>
      <c r="V339" s="386"/>
    </row>
    <row r="340" spans="2:22" s="177" customFormat="1" ht="11.25" customHeight="1" outlineLevel="1">
      <c r="B340" s="175"/>
      <c r="E340" s="319" t="s">
        <v>1080</v>
      </c>
      <c r="F340" s="627" t="s">
        <v>113</v>
      </c>
      <c r="G340" s="628"/>
      <c r="H340" s="628"/>
      <c r="I340" s="628"/>
      <c r="J340" s="176">
        <v>0.05</v>
      </c>
      <c r="K340" s="266">
        <f>(3.03+4.4+7.62+6.73+2.36)*J340</f>
        <v>1.207</v>
      </c>
      <c r="L340" s="419"/>
      <c r="M340" s="419"/>
      <c r="R340" s="178"/>
      <c r="T340" s="142"/>
      <c r="V340" s="386"/>
    </row>
    <row r="341" spans="2:22" s="177" customFormat="1" ht="11.25" customHeight="1" outlineLevel="1">
      <c r="B341" s="175"/>
      <c r="E341" s="319" t="s">
        <v>1082</v>
      </c>
      <c r="F341" s="627" t="s">
        <v>113</v>
      </c>
      <c r="G341" s="628"/>
      <c r="H341" s="628"/>
      <c r="I341" s="628"/>
      <c r="J341" s="176">
        <v>0.05</v>
      </c>
      <c r="K341" s="266">
        <f>(4.39+1.6+1.63+1.58+2.1+5.77+2.26+1.87)*J341</f>
        <v>1.06</v>
      </c>
      <c r="L341" s="419"/>
      <c r="M341" s="419"/>
      <c r="R341" s="178"/>
      <c r="T341" s="142"/>
      <c r="V341" s="386"/>
    </row>
    <row r="342" spans="2:22" s="177" customFormat="1" ht="11.25" customHeight="1" outlineLevel="1">
      <c r="B342" s="175"/>
      <c r="E342" s="319" t="s">
        <v>1083</v>
      </c>
      <c r="F342" s="627" t="s">
        <v>113</v>
      </c>
      <c r="G342" s="628"/>
      <c r="H342" s="628"/>
      <c r="I342" s="628"/>
      <c r="J342" s="176">
        <v>0.07</v>
      </c>
      <c r="K342" s="266">
        <f>9.9*J342</f>
        <v>0.6930000000000001</v>
      </c>
      <c r="L342" s="419"/>
      <c r="M342" s="419"/>
      <c r="R342" s="178"/>
      <c r="T342" s="142"/>
      <c r="V342" s="386"/>
    </row>
    <row r="343" spans="2:22" s="177" customFormat="1" ht="13.5" outlineLevel="1">
      <c r="B343" s="175"/>
      <c r="E343" s="319" t="s">
        <v>1084</v>
      </c>
      <c r="F343" s="627" t="s">
        <v>113</v>
      </c>
      <c r="G343" s="628"/>
      <c r="H343" s="628"/>
      <c r="I343" s="628"/>
      <c r="J343" s="176">
        <f>(0.12+0.14)/2</f>
        <v>0.13</v>
      </c>
      <c r="K343" s="266">
        <f>12.87*J343</f>
        <v>1.6731</v>
      </c>
      <c r="L343" s="419"/>
      <c r="M343" s="419"/>
      <c r="R343" s="178"/>
      <c r="T343" s="142"/>
      <c r="V343" s="386"/>
    </row>
    <row r="344" spans="2:22" s="326" customFormat="1" ht="11.25" customHeight="1" outlineLevel="1">
      <c r="B344" s="330"/>
      <c r="E344" s="680" t="s">
        <v>1086</v>
      </c>
      <c r="F344" s="680"/>
      <c r="G344" s="680"/>
      <c r="H344" s="680"/>
      <c r="I344" s="680"/>
      <c r="J344" s="332"/>
      <c r="K344" s="401"/>
      <c r="L344" s="421"/>
      <c r="M344" s="421"/>
      <c r="R344" s="331"/>
      <c r="T344" s="325"/>
      <c r="V344" s="387"/>
    </row>
    <row r="345" spans="2:22" s="177" customFormat="1" ht="11.25" customHeight="1" outlineLevel="1">
      <c r="B345" s="175"/>
      <c r="E345" s="319" t="s">
        <v>922</v>
      </c>
      <c r="F345" s="627" t="s">
        <v>113</v>
      </c>
      <c r="G345" s="628"/>
      <c r="H345" s="628"/>
      <c r="I345" s="628"/>
      <c r="J345" s="176">
        <v>0.05</v>
      </c>
      <c r="K345" s="266">
        <f>(4.24+1.81)*J345</f>
        <v>0.30250000000000005</v>
      </c>
      <c r="L345" s="419"/>
      <c r="M345" s="419"/>
      <c r="R345" s="178"/>
      <c r="T345" s="142"/>
      <c r="V345" s="386"/>
    </row>
    <row r="346" spans="2:22" s="177" customFormat="1" ht="13.5" outlineLevel="1">
      <c r="B346" s="175"/>
      <c r="E346" s="319" t="s">
        <v>1078</v>
      </c>
      <c r="F346" s="627" t="s">
        <v>113</v>
      </c>
      <c r="G346" s="628"/>
      <c r="H346" s="628"/>
      <c r="I346" s="628"/>
      <c r="J346" s="176">
        <v>0.07</v>
      </c>
      <c r="K346" s="266">
        <f>(20+17.25+40.52+27.72+22.76+30.61)*J346</f>
        <v>11.120200000000002</v>
      </c>
      <c r="L346" s="419"/>
      <c r="M346" s="419"/>
      <c r="R346" s="178"/>
      <c r="T346" s="142"/>
      <c r="V346" s="386"/>
    </row>
    <row r="347" spans="2:22" s="177" customFormat="1" ht="11.25" customHeight="1" outlineLevel="1">
      <c r="B347" s="175"/>
      <c r="E347" s="319" t="s">
        <v>1077</v>
      </c>
      <c r="F347" s="627" t="s">
        <v>113</v>
      </c>
      <c r="G347" s="628"/>
      <c r="H347" s="628"/>
      <c r="I347" s="628"/>
      <c r="J347" s="176">
        <v>0.05</v>
      </c>
      <c r="K347" s="266">
        <f>(4.51+2.89+2.55+1.58+1.17*2+3.28+3.02+4.24+28.19+23.93+1.47+1.54)*J347</f>
        <v>3.9770000000000003</v>
      </c>
      <c r="L347" s="419"/>
      <c r="M347" s="419"/>
      <c r="R347" s="178"/>
      <c r="T347" s="142"/>
      <c r="V347" s="386"/>
    </row>
    <row r="348" spans="2:22" s="177" customFormat="1" ht="11.25" customHeight="1" outlineLevel="1">
      <c r="B348" s="175"/>
      <c r="E348" s="319" t="s">
        <v>1079</v>
      </c>
      <c r="F348" s="627" t="s">
        <v>113</v>
      </c>
      <c r="G348" s="628"/>
      <c r="H348" s="628"/>
      <c r="I348" s="628"/>
      <c r="J348" s="176">
        <v>0.07</v>
      </c>
      <c r="K348" s="266">
        <f>(27.54+2.07)*J348</f>
        <v>2.0727</v>
      </c>
      <c r="L348" s="419"/>
      <c r="M348" s="419"/>
      <c r="R348" s="178"/>
      <c r="T348" s="142"/>
      <c r="V348" s="386"/>
    </row>
    <row r="349" spans="2:22" s="177" customFormat="1" ht="11.25" customHeight="1" outlineLevel="1">
      <c r="B349" s="175"/>
      <c r="E349" s="319" t="s">
        <v>1081</v>
      </c>
      <c r="F349" s="627" t="s">
        <v>113</v>
      </c>
      <c r="G349" s="628"/>
      <c r="H349" s="628"/>
      <c r="I349" s="628"/>
      <c r="J349" s="176">
        <v>0.07</v>
      </c>
      <c r="K349" s="266">
        <f>2*1.33*J349</f>
        <v>0.18620000000000003</v>
      </c>
      <c r="L349" s="419"/>
      <c r="M349" s="419"/>
      <c r="R349" s="178"/>
      <c r="T349" s="142"/>
      <c r="V349" s="386"/>
    </row>
    <row r="350" spans="2:22" s="177" customFormat="1" ht="11.25" customHeight="1" outlineLevel="1">
      <c r="B350" s="175"/>
      <c r="E350" s="319" t="s">
        <v>923</v>
      </c>
      <c r="F350" s="627" t="s">
        <v>113</v>
      </c>
      <c r="G350" s="628"/>
      <c r="H350" s="628"/>
      <c r="I350" s="628"/>
      <c r="J350" s="176">
        <v>0.07</v>
      </c>
      <c r="K350" s="266">
        <f>14.25*J350</f>
        <v>0.9975</v>
      </c>
      <c r="L350" s="419"/>
      <c r="M350" s="419"/>
      <c r="R350" s="178"/>
      <c r="T350" s="142"/>
      <c r="V350" s="386"/>
    </row>
    <row r="351" spans="2:22" s="177" customFormat="1" ht="11.25" customHeight="1" outlineLevel="1">
      <c r="B351" s="175"/>
      <c r="E351" s="319" t="s">
        <v>924</v>
      </c>
      <c r="F351" s="627" t="s">
        <v>113</v>
      </c>
      <c r="G351" s="628"/>
      <c r="H351" s="628"/>
      <c r="I351" s="628"/>
      <c r="J351" s="176">
        <v>0.05</v>
      </c>
      <c r="K351" s="266">
        <f>6.91*J351</f>
        <v>0.34550000000000003</v>
      </c>
      <c r="L351" s="419"/>
      <c r="M351" s="419"/>
      <c r="R351" s="178"/>
      <c r="T351" s="142"/>
      <c r="V351" s="386"/>
    </row>
    <row r="352" spans="2:20" ht="13.5" outlineLevel="1">
      <c r="B352" s="5"/>
      <c r="C352" s="261"/>
      <c r="D352" s="261" t="s">
        <v>64</v>
      </c>
      <c r="E352" s="262">
        <v>631319232</v>
      </c>
      <c r="F352" s="625" t="s">
        <v>248</v>
      </c>
      <c r="G352" s="625"/>
      <c r="H352" s="625"/>
      <c r="I352" s="625"/>
      <c r="J352" s="174" t="s">
        <v>66</v>
      </c>
      <c r="K352" s="264">
        <f>SUM(K345:K351)</f>
        <v>19.001600000000003</v>
      </c>
      <c r="L352" s="626"/>
      <c r="M352" s="626"/>
      <c r="N352" s="619">
        <f>ROUND(L352*K352,2)</f>
        <v>0</v>
      </c>
      <c r="O352" s="619"/>
      <c r="P352" s="619"/>
      <c r="Q352" s="619"/>
      <c r="R352" s="6"/>
      <c r="T352" s="142"/>
    </row>
    <row r="353" spans="2:20" ht="13.5" outlineLevel="1">
      <c r="B353" s="5"/>
      <c r="C353" s="261"/>
      <c r="D353" s="261" t="s">
        <v>64</v>
      </c>
      <c r="E353" s="262">
        <v>985113131</v>
      </c>
      <c r="F353" s="625" t="s">
        <v>1087</v>
      </c>
      <c r="G353" s="625"/>
      <c r="H353" s="625"/>
      <c r="I353" s="625"/>
      <c r="J353" s="174" t="s">
        <v>65</v>
      </c>
      <c r="K353" s="264">
        <f>SUM(K354:K355)</f>
        <v>38.22747999999999</v>
      </c>
      <c r="L353" s="626"/>
      <c r="M353" s="626"/>
      <c r="N353" s="619">
        <f>ROUND(L353*K353,2)</f>
        <v>0</v>
      </c>
      <c r="O353" s="619"/>
      <c r="P353" s="619"/>
      <c r="Q353" s="619"/>
      <c r="R353" s="6"/>
      <c r="T353" s="142"/>
    </row>
    <row r="354" spans="2:22" s="177" customFormat="1" ht="13.5" outlineLevel="1">
      <c r="B354" s="175"/>
      <c r="E354" s="319" t="s">
        <v>1084</v>
      </c>
      <c r="F354" s="627" t="s">
        <v>113</v>
      </c>
      <c r="G354" s="628"/>
      <c r="H354" s="628"/>
      <c r="I354" s="628"/>
      <c r="J354" s="176"/>
      <c r="K354" s="266">
        <f>12.87</f>
        <v>12.87</v>
      </c>
      <c r="L354" s="419"/>
      <c r="M354" s="419"/>
      <c r="R354" s="178"/>
      <c r="T354" s="142"/>
      <c r="V354" s="386"/>
    </row>
    <row r="355" spans="2:22" s="177" customFormat="1" ht="13.5" outlineLevel="1">
      <c r="B355" s="175"/>
      <c r="E355" s="319" t="s">
        <v>1088</v>
      </c>
      <c r="F355" s="627" t="s">
        <v>194</v>
      </c>
      <c r="G355" s="628"/>
      <c r="H355" s="628"/>
      <c r="I355" s="628"/>
      <c r="J355" s="176"/>
      <c r="K355" s="266">
        <f>K286</f>
        <v>25.357479999999995</v>
      </c>
      <c r="L355" s="419"/>
      <c r="M355" s="419"/>
      <c r="R355" s="178"/>
      <c r="T355" s="142"/>
      <c r="V355" s="386"/>
    </row>
    <row r="356" spans="2:20" ht="13.5" outlineLevel="1">
      <c r="B356" s="5"/>
      <c r="C356" s="261"/>
      <c r="D356" s="261" t="s">
        <v>64</v>
      </c>
      <c r="E356" s="262">
        <v>631362021</v>
      </c>
      <c r="F356" s="625" t="s">
        <v>417</v>
      </c>
      <c r="G356" s="625"/>
      <c r="H356" s="625"/>
      <c r="I356" s="625"/>
      <c r="J356" s="174" t="s">
        <v>68</v>
      </c>
      <c r="K356" s="264">
        <f>SUM(K357:K361)</f>
        <v>0.266976</v>
      </c>
      <c r="L356" s="626"/>
      <c r="M356" s="626"/>
      <c r="N356" s="619">
        <f>ROUND(L356*K356,2)</f>
        <v>0</v>
      </c>
      <c r="O356" s="619"/>
      <c r="P356" s="619"/>
      <c r="Q356" s="619"/>
      <c r="R356" s="6"/>
      <c r="T356" s="142"/>
    </row>
    <row r="357" spans="2:22" s="177" customFormat="1" ht="11.25" customHeight="1" outlineLevel="1">
      <c r="B357" s="175"/>
      <c r="E357" s="319" t="s">
        <v>922</v>
      </c>
      <c r="F357" s="627" t="s">
        <v>113</v>
      </c>
      <c r="G357" s="628"/>
      <c r="H357" s="628"/>
      <c r="I357" s="628"/>
      <c r="J357" s="176">
        <v>0.0036</v>
      </c>
      <c r="K357" s="266">
        <f>(4.24+1.81)*J357</f>
        <v>0.02178</v>
      </c>
      <c r="L357" s="419"/>
      <c r="M357" s="419"/>
      <c r="R357" s="178"/>
      <c r="T357" s="142"/>
      <c r="V357" s="386"/>
    </row>
    <row r="358" spans="2:22" s="177" customFormat="1" ht="11.25" customHeight="1" outlineLevel="1">
      <c r="B358" s="175"/>
      <c r="E358" s="319" t="s">
        <v>1080</v>
      </c>
      <c r="F358" s="627" t="s">
        <v>113</v>
      </c>
      <c r="G358" s="628"/>
      <c r="H358" s="628"/>
      <c r="I358" s="628"/>
      <c r="J358" s="176">
        <v>0.0036</v>
      </c>
      <c r="K358" s="266">
        <f>(3.03+4.4+7.62+6.73+2.36)*J358</f>
        <v>0.086904</v>
      </c>
      <c r="L358" s="419"/>
      <c r="M358" s="419"/>
      <c r="R358" s="178"/>
      <c r="T358" s="142"/>
      <c r="V358" s="386"/>
    </row>
    <row r="359" spans="2:22" s="177" customFormat="1" ht="11.25" customHeight="1" outlineLevel="1">
      <c r="B359" s="175"/>
      <c r="E359" s="319" t="s">
        <v>1082</v>
      </c>
      <c r="F359" s="627" t="s">
        <v>113</v>
      </c>
      <c r="G359" s="628"/>
      <c r="H359" s="628"/>
      <c r="I359" s="628"/>
      <c r="J359" s="176">
        <v>0.0036</v>
      </c>
      <c r="K359" s="266">
        <f>(4.39+1.6+1.63+1.58+2.1+5.77+2.26+1.87)*J359</f>
        <v>0.07632</v>
      </c>
      <c r="L359" s="419"/>
      <c r="M359" s="419"/>
      <c r="R359" s="178"/>
      <c r="T359" s="142"/>
      <c r="V359" s="386"/>
    </row>
    <row r="360" spans="2:22" s="177" customFormat="1" ht="11.25" customHeight="1" outlineLevel="1">
      <c r="B360" s="175"/>
      <c r="E360" s="319" t="s">
        <v>1083</v>
      </c>
      <c r="F360" s="627" t="s">
        <v>113</v>
      </c>
      <c r="G360" s="628"/>
      <c r="H360" s="628"/>
      <c r="I360" s="628"/>
      <c r="J360" s="176">
        <v>0.0036</v>
      </c>
      <c r="K360" s="266">
        <f>9.9*J360</f>
        <v>0.03564</v>
      </c>
      <c r="L360" s="419"/>
      <c r="M360" s="419"/>
      <c r="R360" s="178"/>
      <c r="T360" s="142"/>
      <c r="V360" s="386"/>
    </row>
    <row r="361" spans="2:22" s="177" customFormat="1" ht="11.25" customHeight="1" outlineLevel="1">
      <c r="B361" s="175"/>
      <c r="E361" s="319" t="s">
        <v>1084</v>
      </c>
      <c r="F361" s="627" t="s">
        <v>113</v>
      </c>
      <c r="G361" s="628"/>
      <c r="H361" s="628"/>
      <c r="I361" s="628"/>
      <c r="J361" s="176">
        <v>0.0036</v>
      </c>
      <c r="K361" s="266">
        <f>12.87*J361</f>
        <v>0.046332</v>
      </c>
      <c r="L361" s="419"/>
      <c r="M361" s="419"/>
      <c r="R361" s="178"/>
      <c r="T361" s="142"/>
      <c r="V361" s="386"/>
    </row>
    <row r="362" spans="2:22" s="143" customFormat="1" ht="12.75">
      <c r="B362" s="139"/>
      <c r="C362" s="140"/>
      <c r="D362" s="140" t="s">
        <v>100</v>
      </c>
      <c r="E362" s="140"/>
      <c r="F362" s="140"/>
      <c r="G362" s="140"/>
      <c r="H362" s="140"/>
      <c r="I362" s="140"/>
      <c r="J362" s="172"/>
      <c r="K362" s="140"/>
      <c r="L362" s="186"/>
      <c r="M362" s="186"/>
      <c r="N362" s="633">
        <f>SUM(N363:Q364)</f>
        <v>0</v>
      </c>
      <c r="O362" s="633"/>
      <c r="P362" s="633"/>
      <c r="Q362" s="633"/>
      <c r="R362" s="141"/>
      <c r="T362" s="142">
        <f>SUM(N362:Q364)/2</f>
        <v>0</v>
      </c>
      <c r="U362" s="177"/>
      <c r="V362" s="384"/>
    </row>
    <row r="363" spans="2:20" ht="13.5" outlineLevel="1">
      <c r="B363" s="5"/>
      <c r="C363" s="261"/>
      <c r="D363" s="261" t="s">
        <v>64</v>
      </c>
      <c r="E363" s="262">
        <v>629991011</v>
      </c>
      <c r="F363" s="625" t="s">
        <v>166</v>
      </c>
      <c r="G363" s="625"/>
      <c r="H363" s="625"/>
      <c r="I363" s="625"/>
      <c r="J363" s="174" t="s">
        <v>65</v>
      </c>
      <c r="K363" s="264">
        <f>SUM(K364:K364)</f>
        <v>216.89600000000002</v>
      </c>
      <c r="L363" s="626"/>
      <c r="M363" s="626"/>
      <c r="N363" s="619">
        <f>ROUND(L363*K363,2)</f>
        <v>0</v>
      </c>
      <c r="O363" s="619"/>
      <c r="P363" s="619"/>
      <c r="Q363" s="619"/>
      <c r="R363" s="6"/>
      <c r="T363" s="142"/>
    </row>
    <row r="364" spans="2:22" s="177" customFormat="1" ht="48.75" customHeight="1" outlineLevel="1">
      <c r="B364" s="175"/>
      <c r="E364" s="319" t="s">
        <v>167</v>
      </c>
      <c r="F364" s="627" t="s">
        <v>1089</v>
      </c>
      <c r="G364" s="628" t="e">
        <f>(2.85*2.05+1.6*2.3+1.7*2.05+1.6*2.05+2.23*1.65+3.06*2.45+1.6*2.91+3.06*2.45+2.26*2.25+6.23*3+1*1.67*3+1.06*1.7+1.16*1.7+1.1*1.7+1.25*1.85*4+0.65*1.8*2+1.17*1.8+1*1.37*4+1*1.87+1.06*1.8*7)*F364</f>
        <v>#VALUE!</v>
      </c>
      <c r="H364" s="628" t="e">
        <f>(2.85*2.05+1.6*2.3+1.7*2.05+1.6*2.05+2.23*1.65+3.06*2.45+1.6*2.91+3.06*2.45+2.26*2.25+6.23*3+1*1.67*3+1.06*1.7+1.16*1.7+1.1*1.7+1.25*1.85*4+0.65*1.8*2+1.17*1.8+1*1.37*4+1*1.87+1.06*1.8*7)*G364</f>
        <v>#VALUE!</v>
      </c>
      <c r="I364" s="628" t="e">
        <f>(2.85*2.05+1.6*2.3+1.7*2.05+1.6*2.05+2.23*1.65+3.06*2.45+1.6*2.91+3.06*2.45+2.26*2.25+6.23*3+1*1.67*3+1.06*1.7+1.16*1.7+1.1*1.7+1.25*1.85*4+0.65*1.8*2+1.17*1.8+1*1.37*4+1*1.87+1.06*1.8*7)*H364</f>
        <v>#VALUE!</v>
      </c>
      <c r="J364" s="176">
        <v>2</v>
      </c>
      <c r="K364" s="266">
        <f>(2.85*2.05+1.6*2.3+1.7*2.05+1.6*2.05+2.23*1.65+3.06*2.45+1.6*2.91+3.06*2.45+2.26*2.25+6.23*3+1*1.67*3+1.06*1.7+1.16*1.7+1.1*1.7+1.25*1.85*4+0.65*1.8*2+1.17*1.8+1*1.37*4+1*1.87+1.06*1.8*7)*J364</f>
        <v>216.89600000000002</v>
      </c>
      <c r="L364" s="419"/>
      <c r="M364" s="419"/>
      <c r="R364" s="178"/>
      <c r="T364" s="142"/>
      <c r="V364" s="386"/>
    </row>
    <row r="365" spans="2:22" s="143" customFormat="1" ht="12.75">
      <c r="B365" s="139"/>
      <c r="C365" s="140"/>
      <c r="D365" s="140" t="s">
        <v>76</v>
      </c>
      <c r="E365" s="140"/>
      <c r="F365" s="140"/>
      <c r="G365" s="140"/>
      <c r="H365" s="140"/>
      <c r="I365" s="140"/>
      <c r="J365" s="172"/>
      <c r="K365" s="140"/>
      <c r="L365" s="186"/>
      <c r="M365" s="186"/>
      <c r="N365" s="633">
        <f>SUM(N366:Q377)</f>
        <v>0</v>
      </c>
      <c r="O365" s="633"/>
      <c r="P365" s="633"/>
      <c r="Q365" s="633"/>
      <c r="R365" s="141"/>
      <c r="T365" s="142">
        <f>SUM(N365:Q377)/2</f>
        <v>0</v>
      </c>
      <c r="U365" s="177"/>
      <c r="V365" s="384"/>
    </row>
    <row r="366" spans="2:20" ht="13.5" outlineLevel="1">
      <c r="B366" s="5"/>
      <c r="C366" s="261"/>
      <c r="D366" s="261" t="s">
        <v>64</v>
      </c>
      <c r="E366" s="262">
        <v>949101111</v>
      </c>
      <c r="F366" s="625" t="s">
        <v>168</v>
      </c>
      <c r="G366" s="625"/>
      <c r="H366" s="625"/>
      <c r="I366" s="625"/>
      <c r="J366" s="174" t="s">
        <v>65</v>
      </c>
      <c r="K366" s="264">
        <f>K367</f>
        <v>834.4299999999998</v>
      </c>
      <c r="L366" s="626"/>
      <c r="M366" s="626"/>
      <c r="N366" s="619">
        <f>ROUND(L366*K366,2)</f>
        <v>0</v>
      </c>
      <c r="O366" s="619"/>
      <c r="P366" s="619"/>
      <c r="Q366" s="619"/>
      <c r="R366" s="6"/>
      <c r="T366" s="142"/>
    </row>
    <row r="367" spans="2:22" s="177" customFormat="1" ht="22.5" outlineLevel="1">
      <c r="B367" s="175"/>
      <c r="E367" s="319" t="s">
        <v>169</v>
      </c>
      <c r="F367" s="627"/>
      <c r="G367" s="628"/>
      <c r="H367" s="628"/>
      <c r="I367" s="628"/>
      <c r="J367" s="176"/>
      <c r="K367" s="266">
        <f>286.4+281.2+9.9+256.93</f>
        <v>834.4299999999998</v>
      </c>
      <c r="L367" s="419"/>
      <c r="M367" s="419"/>
      <c r="R367" s="178"/>
      <c r="T367" s="142"/>
      <c r="V367" s="386"/>
    </row>
    <row r="368" spans="2:20" ht="13.5" outlineLevel="1">
      <c r="B368" s="5"/>
      <c r="C368" s="261"/>
      <c r="D368" s="261" t="s">
        <v>64</v>
      </c>
      <c r="E368" s="262">
        <v>941311111</v>
      </c>
      <c r="F368" s="625" t="s">
        <v>114</v>
      </c>
      <c r="G368" s="625"/>
      <c r="H368" s="625"/>
      <c r="I368" s="625"/>
      <c r="J368" s="174" t="s">
        <v>65</v>
      </c>
      <c r="K368" s="264">
        <f>K369</f>
        <v>717</v>
      </c>
      <c r="L368" s="626"/>
      <c r="M368" s="626"/>
      <c r="N368" s="619">
        <f>ROUND(L368*K368,2)</f>
        <v>0</v>
      </c>
      <c r="O368" s="619"/>
      <c r="P368" s="619"/>
      <c r="Q368" s="619"/>
      <c r="R368" s="6"/>
      <c r="T368" s="142"/>
    </row>
    <row r="369" spans="2:22" s="177" customFormat="1" ht="13.5" outlineLevel="1">
      <c r="B369" s="175"/>
      <c r="E369" s="319" t="s">
        <v>125</v>
      </c>
      <c r="F369" s="627" t="s">
        <v>194</v>
      </c>
      <c r="G369" s="628" t="e">
        <f>42*F369</f>
        <v>#VALUE!</v>
      </c>
      <c r="H369" s="628" t="e">
        <f>42*G369</f>
        <v>#VALUE!</v>
      </c>
      <c r="I369" s="628" t="e">
        <f>42*H369</f>
        <v>#VALUE!</v>
      </c>
      <c r="J369" s="176"/>
      <c r="K369" s="266">
        <f>K301</f>
        <v>717</v>
      </c>
      <c r="L369" s="419"/>
      <c r="M369" s="419"/>
      <c r="R369" s="178"/>
      <c r="T369" s="142"/>
      <c r="V369" s="386"/>
    </row>
    <row r="370" spans="2:20" ht="27" customHeight="1" outlineLevel="1">
      <c r="B370" s="5"/>
      <c r="C370" s="261"/>
      <c r="D370" s="261" t="s">
        <v>64</v>
      </c>
      <c r="E370" s="262">
        <v>941311211</v>
      </c>
      <c r="F370" s="625" t="s">
        <v>115</v>
      </c>
      <c r="G370" s="625"/>
      <c r="H370" s="625"/>
      <c r="I370" s="625"/>
      <c r="J370" s="174" t="s">
        <v>65</v>
      </c>
      <c r="K370" s="264">
        <f>K371</f>
        <v>43020</v>
      </c>
      <c r="L370" s="626"/>
      <c r="M370" s="626"/>
      <c r="N370" s="619">
        <f>ROUND(L370*K370,2)</f>
        <v>0</v>
      </c>
      <c r="O370" s="619"/>
      <c r="P370" s="619"/>
      <c r="Q370" s="619"/>
      <c r="R370" s="6"/>
      <c r="T370" s="142"/>
    </row>
    <row r="371" spans="2:22" s="177" customFormat="1" ht="13.5" outlineLevel="1">
      <c r="B371" s="175"/>
      <c r="E371" s="319" t="s">
        <v>0</v>
      </c>
      <c r="F371" s="627" t="s">
        <v>2310</v>
      </c>
      <c r="G371" s="628"/>
      <c r="H371" s="628"/>
      <c r="I371" s="628"/>
      <c r="J371" s="176">
        <v>60</v>
      </c>
      <c r="K371" s="266">
        <f>K368*J371</f>
        <v>43020</v>
      </c>
      <c r="L371" s="419"/>
      <c r="M371" s="419"/>
      <c r="R371" s="178"/>
      <c r="T371" s="142"/>
      <c r="V371" s="386"/>
    </row>
    <row r="372" spans="2:20" ht="13.5" outlineLevel="1">
      <c r="B372" s="5"/>
      <c r="C372" s="261"/>
      <c r="D372" s="261" t="s">
        <v>64</v>
      </c>
      <c r="E372" s="262" t="s">
        <v>86</v>
      </c>
      <c r="F372" s="625" t="s">
        <v>87</v>
      </c>
      <c r="G372" s="625"/>
      <c r="H372" s="625"/>
      <c r="I372" s="625"/>
      <c r="J372" s="174" t="s">
        <v>65</v>
      </c>
      <c r="K372" s="264">
        <f>K373</f>
        <v>717</v>
      </c>
      <c r="L372" s="626"/>
      <c r="M372" s="626"/>
      <c r="N372" s="619">
        <f>ROUND(L372*K372,2)</f>
        <v>0</v>
      </c>
      <c r="O372" s="619"/>
      <c r="P372" s="619"/>
      <c r="Q372" s="619"/>
      <c r="R372" s="6"/>
      <c r="T372" s="142"/>
    </row>
    <row r="373" spans="2:22" s="177" customFormat="1" ht="13.5" outlineLevel="1">
      <c r="B373" s="175"/>
      <c r="E373" s="319" t="s">
        <v>0</v>
      </c>
      <c r="F373" s="627" t="s">
        <v>194</v>
      </c>
      <c r="G373" s="628"/>
      <c r="H373" s="628"/>
      <c r="I373" s="628"/>
      <c r="J373" s="176"/>
      <c r="K373" s="266">
        <f>K368</f>
        <v>717</v>
      </c>
      <c r="L373" s="419"/>
      <c r="M373" s="419"/>
      <c r="R373" s="178"/>
      <c r="T373" s="142"/>
      <c r="V373" s="386"/>
    </row>
    <row r="374" spans="2:20" ht="13.5" outlineLevel="1">
      <c r="B374" s="5"/>
      <c r="C374" s="261"/>
      <c r="D374" s="261" t="s">
        <v>64</v>
      </c>
      <c r="E374" s="262" t="s">
        <v>88</v>
      </c>
      <c r="F374" s="625" t="s">
        <v>89</v>
      </c>
      <c r="G374" s="625"/>
      <c r="H374" s="625"/>
      <c r="I374" s="625"/>
      <c r="J374" s="174" t="s">
        <v>65</v>
      </c>
      <c r="K374" s="264">
        <f>K375</f>
        <v>43020</v>
      </c>
      <c r="L374" s="626"/>
      <c r="M374" s="626"/>
      <c r="N374" s="619">
        <f>ROUND(L374*K374,2)</f>
        <v>0</v>
      </c>
      <c r="O374" s="619"/>
      <c r="P374" s="619"/>
      <c r="Q374" s="619"/>
      <c r="R374" s="6"/>
      <c r="T374" s="142"/>
    </row>
    <row r="375" spans="2:22" s="177" customFormat="1" ht="11.25" customHeight="1" outlineLevel="1">
      <c r="B375" s="175"/>
      <c r="E375" s="319" t="s">
        <v>0</v>
      </c>
      <c r="F375" s="627" t="s">
        <v>2310</v>
      </c>
      <c r="G375" s="628"/>
      <c r="H375" s="628"/>
      <c r="I375" s="628"/>
      <c r="J375" s="176">
        <v>60</v>
      </c>
      <c r="K375" s="266">
        <f>K372*J375</f>
        <v>43020</v>
      </c>
      <c r="L375" s="419"/>
      <c r="M375" s="419"/>
      <c r="R375" s="178"/>
      <c r="T375" s="142"/>
      <c r="V375" s="386"/>
    </row>
    <row r="376" spans="2:20" ht="27" customHeight="1" outlineLevel="1">
      <c r="B376" s="5"/>
      <c r="C376" s="261"/>
      <c r="D376" s="261" t="s">
        <v>64</v>
      </c>
      <c r="E376" s="262">
        <v>943311811</v>
      </c>
      <c r="F376" s="625" t="s">
        <v>116</v>
      </c>
      <c r="G376" s="625"/>
      <c r="H376" s="625"/>
      <c r="I376" s="625"/>
      <c r="J376" s="174" t="s">
        <v>65</v>
      </c>
      <c r="K376" s="264">
        <f>K366</f>
        <v>834.4299999999998</v>
      </c>
      <c r="L376" s="626"/>
      <c r="M376" s="626"/>
      <c r="N376" s="619">
        <f>ROUND(L376*K376,2)</f>
        <v>0</v>
      </c>
      <c r="O376" s="619"/>
      <c r="P376" s="619"/>
      <c r="Q376" s="619"/>
      <c r="R376" s="6"/>
      <c r="T376" s="142"/>
    </row>
    <row r="377" spans="2:20" ht="13.5" outlineLevel="1">
      <c r="B377" s="5"/>
      <c r="C377" s="261"/>
      <c r="D377" s="261" t="s">
        <v>64</v>
      </c>
      <c r="E377" s="262" t="s">
        <v>90</v>
      </c>
      <c r="F377" s="625" t="s">
        <v>91</v>
      </c>
      <c r="G377" s="625"/>
      <c r="H377" s="625"/>
      <c r="I377" s="625"/>
      <c r="J377" s="174" t="s">
        <v>65</v>
      </c>
      <c r="K377" s="264">
        <f>K372</f>
        <v>717</v>
      </c>
      <c r="L377" s="626"/>
      <c r="M377" s="626"/>
      <c r="N377" s="619">
        <f>ROUND(L377*K377,2)</f>
        <v>0</v>
      </c>
      <c r="O377" s="619"/>
      <c r="P377" s="619"/>
      <c r="Q377" s="619"/>
      <c r="R377" s="6"/>
      <c r="T377" s="142"/>
    </row>
    <row r="378" spans="2:22" s="143" customFormat="1" ht="12.75">
      <c r="B378" s="139"/>
      <c r="C378" s="140"/>
      <c r="D378" s="140" t="s">
        <v>77</v>
      </c>
      <c r="E378" s="140"/>
      <c r="F378" s="140"/>
      <c r="G378" s="140"/>
      <c r="H378" s="140"/>
      <c r="I378" s="140"/>
      <c r="J378" s="172"/>
      <c r="K378" s="140"/>
      <c r="L378" s="186"/>
      <c r="M378" s="186"/>
      <c r="N378" s="633">
        <f>SUM(N379)</f>
        <v>0</v>
      </c>
      <c r="O378" s="633"/>
      <c r="P378" s="633"/>
      <c r="Q378" s="633"/>
      <c r="R378" s="141"/>
      <c r="T378" s="142">
        <f>SUM(N378:Q379)/2</f>
        <v>0</v>
      </c>
      <c r="U378" s="177"/>
      <c r="V378" s="384"/>
    </row>
    <row r="379" spans="2:20" ht="11.25" customHeight="1" outlineLevel="1">
      <c r="B379" s="5"/>
      <c r="C379" s="261"/>
      <c r="D379" s="261" t="s">
        <v>71</v>
      </c>
      <c r="E379" s="262" t="s">
        <v>203</v>
      </c>
      <c r="F379" s="625" t="s">
        <v>1120</v>
      </c>
      <c r="G379" s="625"/>
      <c r="H379" s="625"/>
      <c r="I379" s="625"/>
      <c r="J379" s="174" t="s">
        <v>72</v>
      </c>
      <c r="K379" s="180">
        <f>N134+N155+N191+N236+N287+N362+N365</f>
        <v>0</v>
      </c>
      <c r="L379" s="666"/>
      <c r="M379" s="666"/>
      <c r="N379" s="619">
        <f>ROUND(L379*K379,2)</f>
        <v>0</v>
      </c>
      <c r="O379" s="619"/>
      <c r="P379" s="619"/>
      <c r="Q379" s="619"/>
      <c r="R379" s="6"/>
      <c r="T379" s="142"/>
    </row>
    <row r="380" spans="2:22" s="143" customFormat="1" ht="15">
      <c r="B380" s="139"/>
      <c r="C380" s="164"/>
      <c r="D380" s="164" t="s">
        <v>50</v>
      </c>
      <c r="E380" s="164"/>
      <c r="F380" s="164"/>
      <c r="G380" s="164"/>
      <c r="H380" s="164"/>
      <c r="I380" s="164"/>
      <c r="J380" s="171"/>
      <c r="K380" s="164"/>
      <c r="L380" s="187"/>
      <c r="M380" s="187"/>
      <c r="N380" s="679">
        <f>N381+N413+N446+N549+N629+N669+N686+N706+N735+N742+N753+N770+N781+N788+N805</f>
        <v>0</v>
      </c>
      <c r="O380" s="679"/>
      <c r="P380" s="679"/>
      <c r="Q380" s="679"/>
      <c r="R380" s="141"/>
      <c r="T380" s="142">
        <f>SUM(N380:Q819)/3</f>
        <v>0</v>
      </c>
      <c r="U380" s="177"/>
      <c r="V380" s="384"/>
    </row>
    <row r="381" spans="2:22" s="143" customFormat="1" ht="12.75" collapsed="1">
      <c r="B381" s="139"/>
      <c r="C381" s="140"/>
      <c r="D381" s="140" t="s">
        <v>51</v>
      </c>
      <c r="E381" s="140"/>
      <c r="F381" s="140"/>
      <c r="G381" s="140"/>
      <c r="H381" s="140"/>
      <c r="I381" s="140"/>
      <c r="J381" s="172"/>
      <c r="K381" s="140"/>
      <c r="L381" s="186"/>
      <c r="M381" s="186"/>
      <c r="N381" s="633">
        <f>SUM(N382:Q412)</f>
        <v>0</v>
      </c>
      <c r="O381" s="633"/>
      <c r="P381" s="633"/>
      <c r="Q381" s="633"/>
      <c r="R381" s="141"/>
      <c r="T381" s="142">
        <f>SUM(N381:Q412)/2</f>
        <v>0</v>
      </c>
      <c r="U381" s="177"/>
      <c r="V381" s="384"/>
    </row>
    <row r="382" spans="2:20" ht="13.5" outlineLevel="1">
      <c r="B382" s="5"/>
      <c r="C382" s="261"/>
      <c r="D382" s="261" t="s">
        <v>64</v>
      </c>
      <c r="E382" s="262">
        <v>711111001</v>
      </c>
      <c r="F382" s="625" t="s">
        <v>78</v>
      </c>
      <c r="G382" s="625"/>
      <c r="H382" s="625"/>
      <c r="I382" s="625"/>
      <c r="J382" s="174" t="s">
        <v>65</v>
      </c>
      <c r="K382" s="264">
        <f>SUM(K383:K385)</f>
        <v>27.21</v>
      </c>
      <c r="L382" s="626"/>
      <c r="M382" s="626"/>
      <c r="N382" s="619">
        <f>ROUND(L382*K382,2)</f>
        <v>0</v>
      </c>
      <c r="O382" s="619"/>
      <c r="P382" s="619"/>
      <c r="Q382" s="619"/>
      <c r="R382" s="6"/>
      <c r="T382" s="142"/>
    </row>
    <row r="383" spans="2:22" s="177" customFormat="1" ht="11.25" customHeight="1" outlineLevel="1">
      <c r="B383" s="175"/>
      <c r="E383" s="319" t="s">
        <v>922</v>
      </c>
      <c r="F383" s="627" t="s">
        <v>113</v>
      </c>
      <c r="G383" s="628"/>
      <c r="H383" s="628"/>
      <c r="I383" s="628"/>
      <c r="J383" s="176">
        <v>1</v>
      </c>
      <c r="K383" s="266">
        <f>4.24+1.81</f>
        <v>6.050000000000001</v>
      </c>
      <c r="L383" s="419"/>
      <c r="M383" s="419"/>
      <c r="R383" s="178"/>
      <c r="T383" s="142"/>
      <c r="V383" s="386"/>
    </row>
    <row r="384" spans="2:22" s="177" customFormat="1" ht="11.25" customHeight="1" outlineLevel="1">
      <c r="B384" s="175"/>
      <c r="E384" s="319" t="s">
        <v>923</v>
      </c>
      <c r="F384" s="627" t="s">
        <v>113</v>
      </c>
      <c r="G384" s="628"/>
      <c r="H384" s="628"/>
      <c r="I384" s="628"/>
      <c r="J384" s="176">
        <v>2</v>
      </c>
      <c r="K384" s="266">
        <f>14.25</f>
        <v>14.25</v>
      </c>
      <c r="L384" s="419"/>
      <c r="M384" s="419"/>
      <c r="R384" s="178"/>
      <c r="T384" s="142"/>
      <c r="V384" s="386"/>
    </row>
    <row r="385" spans="2:22" s="177" customFormat="1" ht="11.25" customHeight="1" outlineLevel="1">
      <c r="B385" s="175"/>
      <c r="E385" s="319" t="s">
        <v>924</v>
      </c>
      <c r="F385" s="627" t="s">
        <v>113</v>
      </c>
      <c r="G385" s="628"/>
      <c r="H385" s="628"/>
      <c r="I385" s="628"/>
      <c r="J385" s="176">
        <v>2</v>
      </c>
      <c r="K385" s="266">
        <f>6.91</f>
        <v>6.91</v>
      </c>
      <c r="L385" s="419"/>
      <c r="M385" s="419"/>
      <c r="R385" s="178"/>
      <c r="T385" s="142"/>
      <c r="V385" s="386"/>
    </row>
    <row r="386" spans="2:20" ht="13.5" outlineLevel="1">
      <c r="B386" s="5"/>
      <c r="C386" s="261"/>
      <c r="D386" s="261" t="s">
        <v>64</v>
      </c>
      <c r="E386" s="262">
        <v>711112001</v>
      </c>
      <c r="F386" s="625" t="s">
        <v>925</v>
      </c>
      <c r="G386" s="625"/>
      <c r="H386" s="625"/>
      <c r="I386" s="625"/>
      <c r="J386" s="174" t="s">
        <v>65</v>
      </c>
      <c r="K386" s="264">
        <f>SUM(K387:K387)</f>
        <v>19.257</v>
      </c>
      <c r="L386" s="626"/>
      <c r="M386" s="626"/>
      <c r="N386" s="619">
        <f>ROUND(L386*K386,2)</f>
        <v>0</v>
      </c>
      <c r="O386" s="619"/>
      <c r="P386" s="619"/>
      <c r="Q386" s="619"/>
      <c r="R386" s="6"/>
      <c r="T386" s="142"/>
    </row>
    <row r="387" spans="2:22" s="177" customFormat="1" ht="11.25" customHeight="1" outlineLevel="1">
      <c r="B387" s="175"/>
      <c r="E387" s="319" t="s">
        <v>926</v>
      </c>
      <c r="F387" s="627" t="s">
        <v>928</v>
      </c>
      <c r="G387" s="628" t="e">
        <f>13.755*(0.75+0.35+0.3)*F387</f>
        <v>#VALUE!</v>
      </c>
      <c r="H387" s="628" t="e">
        <f>13.755*(0.75+0.35+0.3)*G387</f>
        <v>#VALUE!</v>
      </c>
      <c r="I387" s="628" t="e">
        <f>13.755*(0.75+0.35+0.3)*H387</f>
        <v>#VALUE!</v>
      </c>
      <c r="J387" s="176">
        <v>1</v>
      </c>
      <c r="K387" s="266">
        <f>13.755*(0.75+0.35+0.3)*J387</f>
        <v>19.257</v>
      </c>
      <c r="L387" s="419"/>
      <c r="M387" s="419"/>
      <c r="R387" s="178"/>
      <c r="T387" s="142"/>
      <c r="V387" s="386"/>
    </row>
    <row r="388" spans="2:20" ht="13.5" outlineLevel="1">
      <c r="B388" s="5"/>
      <c r="C388" s="267"/>
      <c r="D388" s="267" t="s">
        <v>67</v>
      </c>
      <c r="E388" s="320" t="s">
        <v>79</v>
      </c>
      <c r="F388" s="651" t="s">
        <v>80</v>
      </c>
      <c r="G388" s="651"/>
      <c r="H388" s="651"/>
      <c r="I388" s="651"/>
      <c r="J388" s="179" t="s">
        <v>68</v>
      </c>
      <c r="K388" s="268">
        <f>(K382+K386)*0.0003</f>
        <v>0.013940099999999999</v>
      </c>
      <c r="L388" s="652"/>
      <c r="M388" s="652"/>
      <c r="N388" s="653">
        <f>ROUND(L388*K388,2)</f>
        <v>0</v>
      </c>
      <c r="O388" s="619"/>
      <c r="P388" s="619"/>
      <c r="Q388" s="619"/>
      <c r="R388" s="6"/>
      <c r="T388" s="142"/>
    </row>
    <row r="389" spans="2:20" ht="13.5" outlineLevel="1">
      <c r="B389" s="5"/>
      <c r="C389" s="261"/>
      <c r="D389" s="261" t="s">
        <v>64</v>
      </c>
      <c r="E389" s="262" t="s">
        <v>82</v>
      </c>
      <c r="F389" s="625" t="s">
        <v>81</v>
      </c>
      <c r="G389" s="625"/>
      <c r="H389" s="625"/>
      <c r="I389" s="625"/>
      <c r="J389" s="174" t="s">
        <v>65</v>
      </c>
      <c r="K389" s="264">
        <f>SUM(K390:K390)</f>
        <v>48.37</v>
      </c>
      <c r="L389" s="626"/>
      <c r="M389" s="626"/>
      <c r="N389" s="619">
        <f>ROUND(L389*K389,2)</f>
        <v>0</v>
      </c>
      <c r="O389" s="619"/>
      <c r="P389" s="619"/>
      <c r="Q389" s="619"/>
      <c r="R389" s="6"/>
      <c r="T389" s="142"/>
    </row>
    <row r="390" spans="2:22" s="177" customFormat="1" ht="13.5" outlineLevel="1">
      <c r="B390" s="175"/>
      <c r="E390" s="319"/>
      <c r="F390" s="627" t="s">
        <v>2311</v>
      </c>
      <c r="G390" s="628"/>
      <c r="H390" s="628"/>
      <c r="I390" s="628"/>
      <c r="J390" s="176"/>
      <c r="K390" s="266">
        <f>K383*J383+K384*J384+K385*J385</f>
        <v>48.37</v>
      </c>
      <c r="L390" s="419"/>
      <c r="M390" s="419"/>
      <c r="R390" s="178"/>
      <c r="T390" s="142"/>
      <c r="V390" s="386"/>
    </row>
    <row r="391" spans="2:20" ht="13.5" outlineLevel="1">
      <c r="B391" s="5"/>
      <c r="C391" s="261"/>
      <c r="D391" s="261" t="s">
        <v>64</v>
      </c>
      <c r="E391" s="262">
        <v>711142559</v>
      </c>
      <c r="F391" s="625" t="s">
        <v>927</v>
      </c>
      <c r="G391" s="625"/>
      <c r="H391" s="625"/>
      <c r="I391" s="625"/>
      <c r="J391" s="174" t="s">
        <v>65</v>
      </c>
      <c r="K391" s="264">
        <f>SUM(K392:K392)</f>
        <v>38.514</v>
      </c>
      <c r="L391" s="626"/>
      <c r="M391" s="626"/>
      <c r="N391" s="619">
        <f>ROUND(L391*K391,2)</f>
        <v>0</v>
      </c>
      <c r="O391" s="619"/>
      <c r="P391" s="619"/>
      <c r="Q391" s="619"/>
      <c r="R391" s="6"/>
      <c r="T391" s="142"/>
    </row>
    <row r="392" spans="2:22" s="177" customFormat="1" ht="11.25" customHeight="1" outlineLevel="1">
      <c r="B392" s="175"/>
      <c r="E392" s="319" t="s">
        <v>926</v>
      </c>
      <c r="F392" s="627" t="s">
        <v>928</v>
      </c>
      <c r="G392" s="628" t="e">
        <f>13.755*(0.75+0.35+0.3)*F392</f>
        <v>#VALUE!</v>
      </c>
      <c r="H392" s="628" t="e">
        <f>13.755*(0.75+0.35+0.3)*G392</f>
        <v>#VALUE!</v>
      </c>
      <c r="I392" s="628" t="e">
        <f>13.755*(0.75+0.35+0.3)*H392</f>
        <v>#VALUE!</v>
      </c>
      <c r="J392" s="176">
        <v>2</v>
      </c>
      <c r="K392" s="266">
        <f>13.755*(0.75+0.35+0.3)*J392</f>
        <v>38.514</v>
      </c>
      <c r="L392" s="419"/>
      <c r="M392" s="419"/>
      <c r="R392" s="178"/>
      <c r="T392" s="142"/>
      <c r="V392" s="386"/>
    </row>
    <row r="393" spans="2:20" ht="28.5" customHeight="1" outlineLevel="1">
      <c r="B393" s="5"/>
      <c r="C393" s="267"/>
      <c r="D393" s="267" t="s">
        <v>67</v>
      </c>
      <c r="E393" s="320">
        <v>62853004</v>
      </c>
      <c r="F393" s="651" t="s">
        <v>208</v>
      </c>
      <c r="G393" s="651"/>
      <c r="H393" s="651"/>
      <c r="I393" s="651"/>
      <c r="J393" s="179" t="s">
        <v>65</v>
      </c>
      <c r="K393" s="268">
        <f>SUM(K394:K396)</f>
        <v>104.2608</v>
      </c>
      <c r="L393" s="652"/>
      <c r="M393" s="652"/>
      <c r="N393" s="653">
        <f>ROUND(L393*K393,2)</f>
        <v>0</v>
      </c>
      <c r="O393" s="619"/>
      <c r="P393" s="619"/>
      <c r="Q393" s="619"/>
      <c r="R393" s="6"/>
      <c r="T393" s="142"/>
    </row>
    <row r="394" spans="2:22" s="196" customFormat="1" ht="13.5" outlineLevel="1">
      <c r="B394" s="269"/>
      <c r="E394" s="417" t="s">
        <v>207</v>
      </c>
      <c r="F394" s="677" t="s">
        <v>170</v>
      </c>
      <c r="G394" s="678"/>
      <c r="H394" s="678"/>
      <c r="I394" s="678"/>
      <c r="J394" s="313"/>
      <c r="K394" s="418"/>
      <c r="L394" s="422"/>
      <c r="M394" s="422"/>
      <c r="R394" s="270"/>
      <c r="T394" s="184"/>
      <c r="V394" s="388"/>
    </row>
    <row r="395" spans="2:22" s="177" customFormat="1" ht="13.5" outlineLevel="1">
      <c r="B395" s="175"/>
      <c r="E395" s="319" t="s">
        <v>2312</v>
      </c>
      <c r="F395" s="627" t="s">
        <v>165</v>
      </c>
      <c r="G395" s="628"/>
      <c r="H395" s="628"/>
      <c r="I395" s="628"/>
      <c r="J395" s="176"/>
      <c r="K395" s="266">
        <f>K389+K391</f>
        <v>86.884</v>
      </c>
      <c r="L395" s="419"/>
      <c r="M395" s="419"/>
      <c r="R395" s="178"/>
      <c r="T395" s="142"/>
      <c r="V395" s="386"/>
    </row>
    <row r="396" spans="2:22" s="177" customFormat="1" ht="13.5" outlineLevel="1">
      <c r="B396" s="175"/>
      <c r="E396" s="319" t="s">
        <v>171</v>
      </c>
      <c r="F396" s="627"/>
      <c r="G396" s="628"/>
      <c r="H396" s="628"/>
      <c r="I396" s="628"/>
      <c r="J396" s="314">
        <v>0.2</v>
      </c>
      <c r="K396" s="266">
        <f>SUM(K395:K395)*J396</f>
        <v>17.3768</v>
      </c>
      <c r="L396" s="419"/>
      <c r="M396" s="419"/>
      <c r="R396" s="178"/>
      <c r="T396" s="142"/>
      <c r="V396" s="386"/>
    </row>
    <row r="397" spans="2:20" ht="13.5" outlineLevel="1">
      <c r="B397" s="5"/>
      <c r="C397" s="261"/>
      <c r="D397" s="261" t="s">
        <v>64</v>
      </c>
      <c r="E397" s="262">
        <v>711161273</v>
      </c>
      <c r="F397" s="661" t="s">
        <v>172</v>
      </c>
      <c r="G397" s="662"/>
      <c r="H397" s="662"/>
      <c r="I397" s="663"/>
      <c r="J397" s="174" t="s">
        <v>65</v>
      </c>
      <c r="K397" s="264">
        <f>SUM(K398:K398)</f>
        <v>19.257</v>
      </c>
      <c r="L397" s="664"/>
      <c r="M397" s="665"/>
      <c r="N397" s="658">
        <f>ROUND(L397*K397,2)</f>
        <v>0</v>
      </c>
      <c r="O397" s="659"/>
      <c r="P397" s="659"/>
      <c r="Q397" s="660"/>
      <c r="R397" s="6"/>
      <c r="T397" s="142"/>
    </row>
    <row r="398" spans="2:22" s="177" customFormat="1" ht="11.25" customHeight="1" outlineLevel="1">
      <c r="B398" s="175"/>
      <c r="E398" s="319" t="s">
        <v>926</v>
      </c>
      <c r="F398" s="627" t="s">
        <v>928</v>
      </c>
      <c r="G398" s="628" t="e">
        <f>13.755*(0.75+0.35+0.3)*F398</f>
        <v>#VALUE!</v>
      </c>
      <c r="H398" s="628" t="e">
        <f>13.755*(0.75+0.35+0.3)*G398</f>
        <v>#VALUE!</v>
      </c>
      <c r="I398" s="628" t="e">
        <f>13.755*(0.75+0.35+0.3)*H398</f>
        <v>#VALUE!</v>
      </c>
      <c r="J398" s="176">
        <v>1</v>
      </c>
      <c r="K398" s="266">
        <f>13.755*(0.75+0.35+0.3)*J398</f>
        <v>19.257</v>
      </c>
      <c r="L398" s="419"/>
      <c r="M398" s="419"/>
      <c r="R398" s="178"/>
      <c r="T398" s="142"/>
      <c r="V398" s="386"/>
    </row>
    <row r="399" spans="2:20" ht="28.5" customHeight="1" outlineLevel="1">
      <c r="B399" s="5"/>
      <c r="C399" s="267"/>
      <c r="D399" s="267" t="s">
        <v>67</v>
      </c>
      <c r="E399" s="320">
        <v>28323006</v>
      </c>
      <c r="F399" s="669" t="s">
        <v>173</v>
      </c>
      <c r="G399" s="670"/>
      <c r="H399" s="670"/>
      <c r="I399" s="671"/>
      <c r="J399" s="179" t="s">
        <v>65</v>
      </c>
      <c r="K399" s="268">
        <f>K397*1.2</f>
        <v>23.1084</v>
      </c>
      <c r="L399" s="672"/>
      <c r="M399" s="673"/>
      <c r="N399" s="674">
        <f>ROUND(L399*K399,2)</f>
        <v>0</v>
      </c>
      <c r="O399" s="675"/>
      <c r="P399" s="675"/>
      <c r="Q399" s="676"/>
      <c r="R399" s="6"/>
      <c r="T399" s="142"/>
    </row>
    <row r="400" spans="2:20" ht="27" customHeight="1" outlineLevel="1">
      <c r="B400" s="5"/>
      <c r="C400" s="261"/>
      <c r="D400" s="261" t="s">
        <v>64</v>
      </c>
      <c r="E400" s="262">
        <v>711191201</v>
      </c>
      <c r="F400" s="625" t="s">
        <v>419</v>
      </c>
      <c r="G400" s="625"/>
      <c r="H400" s="625"/>
      <c r="I400" s="625"/>
      <c r="J400" s="174" t="s">
        <v>65</v>
      </c>
      <c r="K400" s="264">
        <f>SUM(K401:K403)</f>
        <v>55.24</v>
      </c>
      <c r="L400" s="626"/>
      <c r="M400" s="626"/>
      <c r="N400" s="619">
        <f>ROUND(L400*K400,2)</f>
        <v>0</v>
      </c>
      <c r="O400" s="619"/>
      <c r="P400" s="619"/>
      <c r="Q400" s="619"/>
      <c r="R400" s="6"/>
      <c r="T400" s="142"/>
    </row>
    <row r="401" spans="2:22" s="177" customFormat="1" ht="11.25" customHeight="1" outlineLevel="1">
      <c r="B401" s="175"/>
      <c r="E401" s="319" t="s">
        <v>1080</v>
      </c>
      <c r="F401" s="627" t="s">
        <v>113</v>
      </c>
      <c r="G401" s="628"/>
      <c r="H401" s="628"/>
      <c r="I401" s="628"/>
      <c r="J401" s="176"/>
      <c r="K401" s="266">
        <f>(3.03+4.4+7.62+6.73+2.36)</f>
        <v>24.14</v>
      </c>
      <c r="L401" s="419"/>
      <c r="M401" s="419"/>
      <c r="R401" s="178"/>
      <c r="T401" s="142"/>
      <c r="V401" s="386"/>
    </row>
    <row r="402" spans="2:22" s="177" customFormat="1" ht="11.25" customHeight="1" outlineLevel="1">
      <c r="B402" s="175"/>
      <c r="E402" s="319" t="s">
        <v>1082</v>
      </c>
      <c r="F402" s="627" t="s">
        <v>113</v>
      </c>
      <c r="G402" s="628"/>
      <c r="H402" s="628"/>
      <c r="I402" s="628"/>
      <c r="J402" s="176"/>
      <c r="K402" s="266">
        <f>(4.39+1.6+1.63+1.58+2.1+5.77+2.26+1.87)</f>
        <v>21.2</v>
      </c>
      <c r="L402" s="419"/>
      <c r="M402" s="419"/>
      <c r="R402" s="178"/>
      <c r="T402" s="142"/>
      <c r="V402" s="386"/>
    </row>
    <row r="403" spans="2:22" s="177" customFormat="1" ht="11.25" customHeight="1" outlineLevel="1">
      <c r="B403" s="175"/>
      <c r="E403" s="319" t="s">
        <v>1083</v>
      </c>
      <c r="F403" s="627" t="s">
        <v>113</v>
      </c>
      <c r="G403" s="628"/>
      <c r="H403" s="628"/>
      <c r="I403" s="628"/>
      <c r="J403" s="176"/>
      <c r="K403" s="266">
        <f>9.9</f>
        <v>9.9</v>
      </c>
      <c r="L403" s="419"/>
      <c r="M403" s="419"/>
      <c r="R403" s="178"/>
      <c r="T403" s="142"/>
      <c r="V403" s="386"/>
    </row>
    <row r="404" spans="2:20" ht="11.25" customHeight="1" outlineLevel="1">
      <c r="B404" s="5"/>
      <c r="C404" s="267"/>
      <c r="D404" s="267" t="s">
        <v>67</v>
      </c>
      <c r="E404" s="320" t="s">
        <v>718</v>
      </c>
      <c r="F404" s="651" t="s">
        <v>719</v>
      </c>
      <c r="G404" s="651"/>
      <c r="H404" s="651"/>
      <c r="I404" s="651"/>
      <c r="J404" s="179" t="s">
        <v>420</v>
      </c>
      <c r="K404" s="268">
        <f>SUM(K405:K405)</f>
        <v>218.75040000000004</v>
      </c>
      <c r="L404" s="652"/>
      <c r="M404" s="652"/>
      <c r="N404" s="653">
        <f>ROUND(L404*K404,2)</f>
        <v>0</v>
      </c>
      <c r="O404" s="619"/>
      <c r="P404" s="619"/>
      <c r="Q404" s="619"/>
      <c r="R404" s="6"/>
      <c r="T404" s="142"/>
    </row>
    <row r="405" spans="2:22" s="177" customFormat="1" ht="13.5" outlineLevel="1">
      <c r="B405" s="175"/>
      <c r="E405" s="319" t="s">
        <v>708</v>
      </c>
      <c r="F405" s="627" t="s">
        <v>711</v>
      </c>
      <c r="G405" s="628"/>
      <c r="H405" s="628"/>
      <c r="I405" s="628"/>
      <c r="J405" s="176">
        <f>1.8*2*1.1</f>
        <v>3.9600000000000004</v>
      </c>
      <c r="K405" s="266">
        <f>(K400)*J405</f>
        <v>218.75040000000004</v>
      </c>
      <c r="L405" s="419"/>
      <c r="M405" s="419"/>
      <c r="R405" s="178"/>
      <c r="T405" s="142"/>
      <c r="V405" s="386"/>
    </row>
    <row r="406" spans="2:20" ht="13.5" outlineLevel="1">
      <c r="B406" s="5"/>
      <c r="C406" s="261"/>
      <c r="D406" s="261" t="s">
        <v>64</v>
      </c>
      <c r="E406" s="262" t="s">
        <v>209</v>
      </c>
      <c r="F406" s="661" t="s">
        <v>210</v>
      </c>
      <c r="G406" s="662"/>
      <c r="H406" s="662"/>
      <c r="I406" s="663"/>
      <c r="J406" s="174" t="s">
        <v>65</v>
      </c>
      <c r="K406" s="264">
        <f>SUM(K407:K409)</f>
        <v>27.57</v>
      </c>
      <c r="L406" s="664"/>
      <c r="M406" s="665"/>
      <c r="N406" s="658">
        <f>ROUND(L406*K406,2)</f>
        <v>0</v>
      </c>
      <c r="O406" s="659"/>
      <c r="P406" s="659"/>
      <c r="Q406" s="660"/>
      <c r="R406" s="6"/>
      <c r="T406" s="177"/>
    </row>
    <row r="407" spans="2:22" s="177" customFormat="1" ht="13.5" outlineLevel="1">
      <c r="B407" s="175"/>
      <c r="E407" s="319" t="s">
        <v>923</v>
      </c>
      <c r="F407" s="627" t="s">
        <v>113</v>
      </c>
      <c r="G407" s="628"/>
      <c r="H407" s="628"/>
      <c r="I407" s="628"/>
      <c r="J407" s="176">
        <v>2</v>
      </c>
      <c r="K407" s="266" t="s">
        <v>12</v>
      </c>
      <c r="L407" s="419"/>
      <c r="M407" s="419"/>
      <c r="R407" s="178"/>
      <c r="T407" s="142"/>
      <c r="V407" s="386"/>
    </row>
    <row r="408" spans="2:22" s="177" customFormat="1" ht="13.5" outlineLevel="1">
      <c r="B408" s="175"/>
      <c r="E408" s="319" t="s">
        <v>924</v>
      </c>
      <c r="F408" s="627" t="s">
        <v>113</v>
      </c>
      <c r="G408" s="628"/>
      <c r="H408" s="628"/>
      <c r="I408" s="628"/>
      <c r="J408" s="176">
        <v>2</v>
      </c>
      <c r="K408" s="266">
        <f>6.91*J408</f>
        <v>13.82</v>
      </c>
      <c r="L408" s="419"/>
      <c r="M408" s="419"/>
      <c r="R408" s="178"/>
      <c r="T408" s="142"/>
      <c r="V408" s="386"/>
    </row>
    <row r="409" spans="2:22" s="177" customFormat="1" ht="13.5" outlineLevel="1">
      <c r="B409" s="175"/>
      <c r="E409" s="319" t="s">
        <v>929</v>
      </c>
      <c r="F409" s="627" t="s">
        <v>113</v>
      </c>
      <c r="G409" s="628"/>
      <c r="H409" s="628"/>
      <c r="I409" s="628"/>
      <c r="J409" s="176">
        <v>2</v>
      </c>
      <c r="K409" s="266">
        <f>2.75*2.5*J409</f>
        <v>13.75</v>
      </c>
      <c r="L409" s="419"/>
      <c r="M409" s="419"/>
      <c r="R409" s="178"/>
      <c r="T409" s="142"/>
      <c r="V409" s="386"/>
    </row>
    <row r="410" spans="2:20" ht="13.5" outlineLevel="1">
      <c r="B410" s="5"/>
      <c r="C410" s="267"/>
      <c r="D410" s="267" t="s">
        <v>67</v>
      </c>
      <c r="E410" s="320">
        <v>69311068</v>
      </c>
      <c r="F410" s="669" t="s">
        <v>121</v>
      </c>
      <c r="G410" s="670"/>
      <c r="H410" s="670"/>
      <c r="I410" s="671"/>
      <c r="J410" s="179" t="s">
        <v>65</v>
      </c>
      <c r="K410" s="268">
        <f>(K406)*1.2</f>
        <v>33.083999999999996</v>
      </c>
      <c r="L410" s="672"/>
      <c r="M410" s="673"/>
      <c r="N410" s="674">
        <f>ROUND(L410*K410,2)</f>
        <v>0</v>
      </c>
      <c r="O410" s="675"/>
      <c r="P410" s="675"/>
      <c r="Q410" s="676"/>
      <c r="R410" s="6"/>
      <c r="T410" s="142"/>
    </row>
    <row r="411" spans="2:20" ht="13.5" outlineLevel="1">
      <c r="B411" s="5"/>
      <c r="C411" s="261"/>
      <c r="D411" s="261" t="s">
        <v>71</v>
      </c>
      <c r="E411" s="262" t="s">
        <v>118</v>
      </c>
      <c r="F411" s="625" t="s">
        <v>119</v>
      </c>
      <c r="G411" s="625"/>
      <c r="H411" s="625"/>
      <c r="I411" s="625"/>
      <c r="J411" s="174" t="s">
        <v>69</v>
      </c>
      <c r="K411" s="264">
        <v>12</v>
      </c>
      <c r="L411" s="626"/>
      <c r="M411" s="626"/>
      <c r="N411" s="619">
        <f>ROUND(L411*K411,2)</f>
        <v>0</v>
      </c>
      <c r="O411" s="619"/>
      <c r="P411" s="619"/>
      <c r="Q411" s="619"/>
      <c r="R411" s="6"/>
      <c r="T411" s="142"/>
    </row>
    <row r="412" spans="2:20" ht="29.25" customHeight="1" outlineLevel="1">
      <c r="B412" s="5"/>
      <c r="C412" s="261"/>
      <c r="D412" s="261" t="s">
        <v>64</v>
      </c>
      <c r="E412" s="262">
        <v>998711202</v>
      </c>
      <c r="F412" s="625" t="s">
        <v>1121</v>
      </c>
      <c r="G412" s="625"/>
      <c r="H412" s="625"/>
      <c r="I412" s="625"/>
      <c r="J412" s="174" t="s">
        <v>72</v>
      </c>
      <c r="K412" s="180">
        <f>SUM(N382:Q411)</f>
        <v>0</v>
      </c>
      <c r="L412" s="666"/>
      <c r="M412" s="666"/>
      <c r="N412" s="619">
        <f>ROUND(L412*K412,2)</f>
        <v>0</v>
      </c>
      <c r="O412" s="619"/>
      <c r="P412" s="619"/>
      <c r="Q412" s="619"/>
      <c r="R412" s="6"/>
      <c r="T412" s="142"/>
    </row>
    <row r="413" spans="2:22" s="143" customFormat="1" ht="12.75">
      <c r="B413" s="139"/>
      <c r="C413" s="140"/>
      <c r="D413" s="140" t="s">
        <v>101</v>
      </c>
      <c r="E413" s="140"/>
      <c r="F413" s="140"/>
      <c r="G413" s="140"/>
      <c r="H413" s="140"/>
      <c r="I413" s="140"/>
      <c r="J413" s="172"/>
      <c r="K413" s="140"/>
      <c r="L413" s="186"/>
      <c r="M413" s="186"/>
      <c r="N413" s="667">
        <f>SUM(N414:Q445)</f>
        <v>0</v>
      </c>
      <c r="O413" s="667"/>
      <c r="P413" s="667"/>
      <c r="Q413" s="667"/>
      <c r="R413" s="141"/>
      <c r="T413" s="142">
        <f>SUM(N413:Q445)/2</f>
        <v>0</v>
      </c>
      <c r="U413" s="177"/>
      <c r="V413" s="384"/>
    </row>
    <row r="414" spans="2:20" ht="27" customHeight="1" outlineLevel="1">
      <c r="B414" s="5"/>
      <c r="C414" s="261"/>
      <c r="D414" s="261" t="s">
        <v>64</v>
      </c>
      <c r="E414" s="262">
        <v>712311101</v>
      </c>
      <c r="F414" s="625" t="s">
        <v>428</v>
      </c>
      <c r="G414" s="625"/>
      <c r="H414" s="625"/>
      <c r="I414" s="625"/>
      <c r="J414" s="174" t="s">
        <v>65</v>
      </c>
      <c r="K414" s="264">
        <f>SUM(K415:K417)</f>
        <v>24.5507</v>
      </c>
      <c r="L414" s="626"/>
      <c r="M414" s="626"/>
      <c r="N414" s="619">
        <f>ROUND(L414*K414,2)</f>
        <v>0</v>
      </c>
      <c r="O414" s="619"/>
      <c r="P414" s="619"/>
      <c r="Q414" s="619"/>
      <c r="R414" s="6"/>
      <c r="T414" s="142"/>
    </row>
    <row r="415" spans="2:22" s="177" customFormat="1" ht="13.5" outlineLevel="1">
      <c r="B415" s="175"/>
      <c r="E415" s="319" t="s">
        <v>1084</v>
      </c>
      <c r="F415" s="627" t="s">
        <v>113</v>
      </c>
      <c r="G415" s="628"/>
      <c r="H415" s="628"/>
      <c r="I415" s="628"/>
      <c r="J415" s="176"/>
      <c r="K415" s="266">
        <f>12.87</f>
        <v>12.87</v>
      </c>
      <c r="L415" s="419"/>
      <c r="M415" s="419"/>
      <c r="R415" s="178"/>
      <c r="T415" s="142"/>
      <c r="V415" s="386"/>
    </row>
    <row r="416" spans="2:22" s="177" customFormat="1" ht="13.5" outlineLevel="1">
      <c r="B416" s="175"/>
      <c r="E416" s="319" t="s">
        <v>1100</v>
      </c>
      <c r="F416" s="627" t="s">
        <v>1101</v>
      </c>
      <c r="G416" s="628">
        <f aca="true" t="shared" si="13" ref="G416:I417">2.75*1.25+2.22*2.56+(2.56)*2*0.5</f>
        <v>11.6807</v>
      </c>
      <c r="H416" s="628">
        <f t="shared" si="13"/>
        <v>11.6807</v>
      </c>
      <c r="I416" s="628">
        <f t="shared" si="13"/>
        <v>11.6807</v>
      </c>
      <c r="J416" s="176"/>
      <c r="K416" s="266">
        <f>2.75*1.25</f>
        <v>3.4375</v>
      </c>
      <c r="L416" s="419"/>
      <c r="M416" s="419"/>
      <c r="R416" s="178"/>
      <c r="T416" s="142"/>
      <c r="V416" s="386"/>
    </row>
    <row r="417" spans="2:22" s="177" customFormat="1" ht="13.5" outlineLevel="1">
      <c r="B417" s="175"/>
      <c r="E417" s="319" t="s">
        <v>1099</v>
      </c>
      <c r="F417" s="627" t="s">
        <v>1102</v>
      </c>
      <c r="G417" s="628">
        <f t="shared" si="13"/>
        <v>11.6807</v>
      </c>
      <c r="H417" s="628">
        <f t="shared" si="13"/>
        <v>11.6807</v>
      </c>
      <c r="I417" s="628">
        <f t="shared" si="13"/>
        <v>11.6807</v>
      </c>
      <c r="J417" s="176"/>
      <c r="K417" s="266">
        <f>2.22*2.56+(2.56)*2*0.5</f>
        <v>8.2432</v>
      </c>
      <c r="L417" s="419"/>
      <c r="M417" s="419"/>
      <c r="R417" s="178"/>
      <c r="T417" s="142"/>
      <c r="V417" s="386"/>
    </row>
    <row r="418" spans="2:20" ht="13.5" outlineLevel="1">
      <c r="B418" s="5"/>
      <c r="C418" s="267"/>
      <c r="D418" s="267" t="s">
        <v>67</v>
      </c>
      <c r="E418" s="320" t="s">
        <v>79</v>
      </c>
      <c r="F418" s="651" t="s">
        <v>80</v>
      </c>
      <c r="G418" s="651"/>
      <c r="H418" s="651"/>
      <c r="I418" s="651"/>
      <c r="J418" s="179" t="s">
        <v>68</v>
      </c>
      <c r="K418" s="268">
        <f>(K414)*0.0003</f>
        <v>0.007365209999999999</v>
      </c>
      <c r="L418" s="652"/>
      <c r="M418" s="652"/>
      <c r="N418" s="653">
        <f>ROUND(L418*K418,2)</f>
        <v>0</v>
      </c>
      <c r="O418" s="619"/>
      <c r="P418" s="619"/>
      <c r="Q418" s="619"/>
      <c r="R418" s="6"/>
      <c r="T418" s="142"/>
    </row>
    <row r="419" spans="2:20" ht="13.5" outlineLevel="1">
      <c r="B419" s="5"/>
      <c r="C419" s="261"/>
      <c r="D419" s="261" t="s">
        <v>64</v>
      </c>
      <c r="E419" s="262">
        <v>712341559</v>
      </c>
      <c r="F419" s="661" t="s">
        <v>429</v>
      </c>
      <c r="G419" s="662"/>
      <c r="H419" s="662"/>
      <c r="I419" s="663"/>
      <c r="J419" s="174" t="s">
        <v>65</v>
      </c>
      <c r="K419" s="264">
        <f>K414</f>
        <v>24.5507</v>
      </c>
      <c r="L419" s="664"/>
      <c r="M419" s="665"/>
      <c r="N419" s="658">
        <f>ROUND(L419*K419,2)</f>
        <v>0</v>
      </c>
      <c r="O419" s="659"/>
      <c r="P419" s="659"/>
      <c r="Q419" s="660"/>
      <c r="R419" s="6"/>
      <c r="T419" s="142"/>
    </row>
    <row r="420" spans="2:20" ht="28.5" customHeight="1" outlineLevel="1">
      <c r="B420" s="5"/>
      <c r="C420" s="267"/>
      <c r="D420" s="267" t="s">
        <v>67</v>
      </c>
      <c r="E420" s="320">
        <v>62853004</v>
      </c>
      <c r="F420" s="651" t="s">
        <v>208</v>
      </c>
      <c r="G420" s="651"/>
      <c r="H420" s="651"/>
      <c r="I420" s="651"/>
      <c r="J420" s="179" t="s">
        <v>65</v>
      </c>
      <c r="K420" s="268">
        <f>K419*1.2</f>
        <v>29.460839999999997</v>
      </c>
      <c r="L420" s="652"/>
      <c r="M420" s="652"/>
      <c r="N420" s="653">
        <f>ROUND(L420*K420,2)</f>
        <v>0</v>
      </c>
      <c r="O420" s="619"/>
      <c r="P420" s="619"/>
      <c r="Q420" s="619"/>
      <c r="R420" s="6"/>
      <c r="T420" s="142"/>
    </row>
    <row r="421" spans="2:20" ht="13.5" outlineLevel="1">
      <c r="B421" s="5"/>
      <c r="C421" s="261"/>
      <c r="D421" s="261" t="s">
        <v>64</v>
      </c>
      <c r="E421" s="262">
        <v>712392171</v>
      </c>
      <c r="F421" s="625" t="s">
        <v>434</v>
      </c>
      <c r="G421" s="625"/>
      <c r="H421" s="625"/>
      <c r="I421" s="625"/>
      <c r="J421" s="174" t="s">
        <v>65</v>
      </c>
      <c r="K421" s="264">
        <f>SUM(K422:K424)</f>
        <v>36.231399999999994</v>
      </c>
      <c r="L421" s="626"/>
      <c r="M421" s="626"/>
      <c r="N421" s="619">
        <f>ROUND(L421*K421,2)</f>
        <v>0</v>
      </c>
      <c r="O421" s="619"/>
      <c r="P421" s="619"/>
      <c r="Q421" s="619"/>
      <c r="R421" s="6"/>
      <c r="T421" s="142"/>
    </row>
    <row r="422" spans="2:22" s="177" customFormat="1" ht="13.5" outlineLevel="1">
      <c r="B422" s="175"/>
      <c r="E422" s="319" t="s">
        <v>1084</v>
      </c>
      <c r="F422" s="627" t="s">
        <v>113</v>
      </c>
      <c r="G422" s="628"/>
      <c r="H422" s="628"/>
      <c r="I422" s="628"/>
      <c r="J422" s="176"/>
      <c r="K422" s="266">
        <f>12.87</f>
        <v>12.87</v>
      </c>
      <c r="L422" s="419"/>
      <c r="M422" s="419"/>
      <c r="R422" s="178"/>
      <c r="T422" s="142"/>
      <c r="V422" s="386"/>
    </row>
    <row r="423" spans="2:22" s="177" customFormat="1" ht="13.5" outlineLevel="1">
      <c r="B423" s="175"/>
      <c r="E423" s="319" t="s">
        <v>1100</v>
      </c>
      <c r="F423" s="627" t="s">
        <v>1101</v>
      </c>
      <c r="G423" s="628">
        <f aca="true" t="shared" si="14" ref="G423:I424">2.75*1.25+2.22*2.56+(2.56)*2*0.5</f>
        <v>11.6807</v>
      </c>
      <c r="H423" s="628">
        <f t="shared" si="14"/>
        <v>11.6807</v>
      </c>
      <c r="I423" s="628">
        <f t="shared" si="14"/>
        <v>11.6807</v>
      </c>
      <c r="J423" s="177">
        <v>2</v>
      </c>
      <c r="K423" s="266">
        <f>2.75*1.25*J423</f>
        <v>6.875</v>
      </c>
      <c r="L423" s="419"/>
      <c r="M423" s="419"/>
      <c r="R423" s="178"/>
      <c r="T423" s="142"/>
      <c r="V423" s="386"/>
    </row>
    <row r="424" spans="2:22" s="177" customFormat="1" ht="13.5" outlineLevel="1">
      <c r="B424" s="175"/>
      <c r="E424" s="319" t="s">
        <v>1099</v>
      </c>
      <c r="F424" s="627" t="s">
        <v>1102</v>
      </c>
      <c r="G424" s="628">
        <f t="shared" si="14"/>
        <v>11.6807</v>
      </c>
      <c r="H424" s="628">
        <f t="shared" si="14"/>
        <v>11.6807</v>
      </c>
      <c r="I424" s="628">
        <f t="shared" si="14"/>
        <v>11.6807</v>
      </c>
      <c r="J424" s="176">
        <v>2</v>
      </c>
      <c r="K424" s="266">
        <f>(2.22*2.56+(2.56)*2*0.5)*J424</f>
        <v>16.4864</v>
      </c>
      <c r="L424" s="419"/>
      <c r="M424" s="419"/>
      <c r="R424" s="178"/>
      <c r="T424" s="142"/>
      <c r="V424" s="386"/>
    </row>
    <row r="425" spans="2:20" ht="27" customHeight="1" outlineLevel="1">
      <c r="B425" s="5"/>
      <c r="C425" s="261"/>
      <c r="D425" s="261" t="s">
        <v>64</v>
      </c>
      <c r="E425" s="262">
        <v>712363001</v>
      </c>
      <c r="F425" s="625" t="s">
        <v>249</v>
      </c>
      <c r="G425" s="625"/>
      <c r="H425" s="625"/>
      <c r="I425" s="625"/>
      <c r="J425" s="174" t="s">
        <v>65</v>
      </c>
      <c r="K425" s="264">
        <f>SUM(K426:K426)</f>
        <v>36.231399999999994</v>
      </c>
      <c r="L425" s="626"/>
      <c r="M425" s="626"/>
      <c r="N425" s="619">
        <f>ROUND(L425*K425,2)</f>
        <v>0</v>
      </c>
      <c r="O425" s="619"/>
      <c r="P425" s="619"/>
      <c r="Q425" s="619"/>
      <c r="R425" s="6"/>
      <c r="T425" s="142"/>
    </row>
    <row r="426" spans="2:22" s="177" customFormat="1" ht="13.5" outlineLevel="1">
      <c r="B426" s="175"/>
      <c r="E426" s="319"/>
      <c r="F426" s="627" t="s">
        <v>194</v>
      </c>
      <c r="G426" s="628">
        <f>1.865*7.425</f>
        <v>13.847624999999999</v>
      </c>
      <c r="H426" s="628">
        <f>1.865*7.425</f>
        <v>13.847624999999999</v>
      </c>
      <c r="I426" s="628">
        <f>1.865*7.425</f>
        <v>13.847624999999999</v>
      </c>
      <c r="J426" s="176"/>
      <c r="K426" s="266">
        <f>K421</f>
        <v>36.231399999999994</v>
      </c>
      <c r="L426" s="419"/>
      <c r="M426" s="419"/>
      <c r="R426" s="178"/>
      <c r="T426" s="142"/>
      <c r="V426" s="386"/>
    </row>
    <row r="427" spans="2:20" ht="27" customHeight="1" outlineLevel="1">
      <c r="B427" s="5"/>
      <c r="C427" s="261"/>
      <c r="D427" s="261" t="s">
        <v>64</v>
      </c>
      <c r="E427" s="262">
        <v>712363003</v>
      </c>
      <c r="F427" s="625" t="s">
        <v>250</v>
      </c>
      <c r="G427" s="625"/>
      <c r="H427" s="625"/>
      <c r="I427" s="625"/>
      <c r="J427" s="174" t="s">
        <v>70</v>
      </c>
      <c r="K427" s="264">
        <f>SUM(K428:K428)</f>
        <v>10.620000000000001</v>
      </c>
      <c r="L427" s="626"/>
      <c r="M427" s="626"/>
      <c r="N427" s="619">
        <f>ROUND(L427*K427,2)</f>
        <v>0</v>
      </c>
      <c r="O427" s="619"/>
      <c r="P427" s="619"/>
      <c r="Q427" s="619"/>
      <c r="R427" s="6"/>
      <c r="T427" s="142"/>
    </row>
    <row r="428" spans="2:22" s="177" customFormat="1" ht="13.5" outlineLevel="1">
      <c r="B428" s="175"/>
      <c r="E428" s="319"/>
      <c r="F428" s="627" t="s">
        <v>1103</v>
      </c>
      <c r="G428" s="628">
        <f>2.75*2+2.56*2</f>
        <v>10.620000000000001</v>
      </c>
      <c r="H428" s="628">
        <f>2.75*2+2.56*2</f>
        <v>10.620000000000001</v>
      </c>
      <c r="I428" s="628">
        <f>2.75*2+2.56*2</f>
        <v>10.620000000000001</v>
      </c>
      <c r="J428" s="176"/>
      <c r="K428" s="266">
        <f>2.75*2+2.56*2</f>
        <v>10.620000000000001</v>
      </c>
      <c r="L428" s="419"/>
      <c r="M428" s="419"/>
      <c r="R428" s="178"/>
      <c r="T428" s="142"/>
      <c r="V428" s="386"/>
    </row>
    <row r="429" spans="2:20" ht="27" customHeight="1" outlineLevel="1">
      <c r="B429" s="5"/>
      <c r="C429" s="261"/>
      <c r="D429" s="261" t="s">
        <v>64</v>
      </c>
      <c r="E429" s="262">
        <v>712363122</v>
      </c>
      <c r="F429" s="625" t="s">
        <v>251</v>
      </c>
      <c r="G429" s="625"/>
      <c r="H429" s="625"/>
      <c r="I429" s="625"/>
      <c r="J429" s="174" t="s">
        <v>69</v>
      </c>
      <c r="K429" s="264">
        <f>SUM(K430:K430)</f>
        <v>6</v>
      </c>
      <c r="L429" s="626"/>
      <c r="M429" s="626"/>
      <c r="N429" s="619">
        <f>ROUND(L429*K429,2)</f>
        <v>0</v>
      </c>
      <c r="O429" s="619"/>
      <c r="P429" s="619"/>
      <c r="Q429" s="619"/>
      <c r="R429" s="6"/>
      <c r="T429" s="142"/>
    </row>
    <row r="430" spans="2:22" s="177" customFormat="1" ht="13.5" outlineLevel="1">
      <c r="B430" s="175"/>
      <c r="E430" s="319"/>
      <c r="F430" s="627"/>
      <c r="G430" s="628"/>
      <c r="H430" s="628"/>
      <c r="I430" s="628"/>
      <c r="J430" s="176"/>
      <c r="K430" s="266">
        <v>6</v>
      </c>
      <c r="L430" s="419"/>
      <c r="M430" s="419"/>
      <c r="R430" s="178"/>
      <c r="T430" s="142"/>
      <c r="V430" s="386"/>
    </row>
    <row r="431" spans="2:20" ht="27" customHeight="1" outlineLevel="1">
      <c r="B431" s="5"/>
      <c r="C431" s="261"/>
      <c r="D431" s="261" t="s">
        <v>64</v>
      </c>
      <c r="E431" s="262">
        <v>712363352</v>
      </c>
      <c r="F431" s="625" t="s">
        <v>252</v>
      </c>
      <c r="G431" s="625"/>
      <c r="H431" s="625"/>
      <c r="I431" s="625"/>
      <c r="J431" s="174" t="s">
        <v>70</v>
      </c>
      <c r="K431" s="264">
        <f>SUM(K432:K432)</f>
        <v>5.12</v>
      </c>
      <c r="L431" s="626"/>
      <c r="M431" s="626"/>
      <c r="N431" s="619">
        <f>ROUND(L431*K431,2)</f>
        <v>0</v>
      </c>
      <c r="O431" s="619"/>
      <c r="P431" s="619"/>
      <c r="Q431" s="619"/>
      <c r="R431" s="6"/>
      <c r="T431" s="142"/>
    </row>
    <row r="432" spans="2:22" s="177" customFormat="1" ht="13.5" outlineLevel="1">
      <c r="B432" s="175"/>
      <c r="E432" s="319"/>
      <c r="F432" s="627"/>
      <c r="G432" s="628"/>
      <c r="H432" s="628"/>
      <c r="I432" s="628"/>
      <c r="J432" s="176"/>
      <c r="K432" s="266">
        <f>2.56*2</f>
        <v>5.12</v>
      </c>
      <c r="L432" s="419"/>
      <c r="M432" s="419"/>
      <c r="R432" s="178"/>
      <c r="T432" s="142"/>
      <c r="V432" s="386"/>
    </row>
    <row r="433" spans="2:20" ht="13.5" outlineLevel="1">
      <c r="B433" s="5"/>
      <c r="C433" s="267"/>
      <c r="D433" s="267" t="s">
        <v>67</v>
      </c>
      <c r="E433" s="320">
        <v>55344006</v>
      </c>
      <c r="F433" s="651" t="s">
        <v>254</v>
      </c>
      <c r="G433" s="651"/>
      <c r="H433" s="651"/>
      <c r="I433" s="651"/>
      <c r="J433" s="179" t="s">
        <v>70</v>
      </c>
      <c r="K433" s="268">
        <f>K431*1.1</f>
        <v>5.632000000000001</v>
      </c>
      <c r="L433" s="652"/>
      <c r="M433" s="652"/>
      <c r="N433" s="653">
        <f>ROUND(L433*K433,2)</f>
        <v>0</v>
      </c>
      <c r="O433" s="619"/>
      <c r="P433" s="619"/>
      <c r="Q433" s="619"/>
      <c r="R433" s="6"/>
      <c r="T433" s="142"/>
    </row>
    <row r="434" spans="2:20" ht="27" customHeight="1" outlineLevel="1">
      <c r="B434" s="5"/>
      <c r="C434" s="261"/>
      <c r="D434" s="261" t="s">
        <v>64</v>
      </c>
      <c r="E434" s="262">
        <v>712363354</v>
      </c>
      <c r="F434" s="625" t="s">
        <v>253</v>
      </c>
      <c r="G434" s="625"/>
      <c r="H434" s="625"/>
      <c r="I434" s="625"/>
      <c r="J434" s="174" t="s">
        <v>70</v>
      </c>
      <c r="K434" s="264">
        <f>SUM(K435:K435)</f>
        <v>2.22</v>
      </c>
      <c r="L434" s="626"/>
      <c r="M434" s="626"/>
      <c r="N434" s="619">
        <f>ROUND(L434*K434,2)</f>
        <v>0</v>
      </c>
      <c r="O434" s="619"/>
      <c r="P434" s="619"/>
      <c r="Q434" s="619"/>
      <c r="R434" s="6"/>
      <c r="T434" s="142"/>
    </row>
    <row r="435" spans="2:22" s="177" customFormat="1" ht="13.5" outlineLevel="1">
      <c r="B435" s="175"/>
      <c r="E435" s="319"/>
      <c r="F435" s="627"/>
      <c r="G435" s="628"/>
      <c r="H435" s="628"/>
      <c r="I435" s="628"/>
      <c r="J435" s="176"/>
      <c r="K435" s="266">
        <f>2.22</f>
        <v>2.22</v>
      </c>
      <c r="L435" s="419"/>
      <c r="M435" s="419"/>
      <c r="R435" s="178"/>
      <c r="T435" s="142"/>
      <c r="V435" s="386"/>
    </row>
    <row r="436" spans="2:20" ht="13.5" outlineLevel="1">
      <c r="B436" s="5"/>
      <c r="C436" s="267"/>
      <c r="D436" s="267" t="s">
        <v>67</v>
      </c>
      <c r="E436" s="320">
        <v>55344004</v>
      </c>
      <c r="F436" s="651" t="s">
        <v>255</v>
      </c>
      <c r="G436" s="651"/>
      <c r="H436" s="651"/>
      <c r="I436" s="651"/>
      <c r="J436" s="179" t="s">
        <v>70</v>
      </c>
      <c r="K436" s="268">
        <f>K434*1.1</f>
        <v>2.4420000000000006</v>
      </c>
      <c r="L436" s="652"/>
      <c r="M436" s="652"/>
      <c r="N436" s="653">
        <f>ROUND(L436*K436,2)</f>
        <v>0</v>
      </c>
      <c r="O436" s="619"/>
      <c r="P436" s="619"/>
      <c r="Q436" s="619"/>
      <c r="R436" s="6"/>
      <c r="T436" s="142"/>
    </row>
    <row r="437" spans="2:20" ht="13.5" outlineLevel="1">
      <c r="B437" s="5"/>
      <c r="C437" s="261"/>
      <c r="D437" s="261" t="s">
        <v>64</v>
      </c>
      <c r="E437" s="262" t="s">
        <v>2044</v>
      </c>
      <c r="F437" s="625" t="s">
        <v>2045</v>
      </c>
      <c r="G437" s="625"/>
      <c r="H437" s="625"/>
      <c r="I437" s="625"/>
      <c r="J437" s="174" t="s">
        <v>65</v>
      </c>
      <c r="K437" s="264">
        <f>SUM(K438:K438)</f>
        <v>12.87</v>
      </c>
      <c r="L437" s="626"/>
      <c r="M437" s="626"/>
      <c r="N437" s="619">
        <f>ROUND(L437*K437,2)</f>
        <v>0</v>
      </c>
      <c r="O437" s="619"/>
      <c r="P437" s="619"/>
      <c r="Q437" s="619"/>
      <c r="R437" s="6"/>
      <c r="T437" s="142"/>
    </row>
    <row r="438" spans="2:22" s="177" customFormat="1" ht="13.5" outlineLevel="1">
      <c r="B438" s="175"/>
      <c r="E438" s="319" t="s">
        <v>1084</v>
      </c>
      <c r="F438" s="627" t="s">
        <v>113</v>
      </c>
      <c r="G438" s="628"/>
      <c r="H438" s="628"/>
      <c r="I438" s="628"/>
      <c r="J438" s="176"/>
      <c r="K438" s="266">
        <f>12.87</f>
        <v>12.87</v>
      </c>
      <c r="L438" s="419"/>
      <c r="M438" s="419"/>
      <c r="R438" s="178"/>
      <c r="T438" s="142"/>
      <c r="V438" s="386"/>
    </row>
    <row r="439" spans="2:20" ht="13.5" outlineLevel="1">
      <c r="B439" s="5"/>
      <c r="C439" s="267"/>
      <c r="D439" s="267" t="s">
        <v>71</v>
      </c>
      <c r="E439" s="320" t="s">
        <v>2046</v>
      </c>
      <c r="F439" s="651" t="s">
        <v>2047</v>
      </c>
      <c r="G439" s="651"/>
      <c r="H439" s="651"/>
      <c r="I439" s="651"/>
      <c r="J439" s="179" t="s">
        <v>65</v>
      </c>
      <c r="K439" s="268">
        <f>K437*1.1</f>
        <v>14.157</v>
      </c>
      <c r="L439" s="652"/>
      <c r="M439" s="652"/>
      <c r="N439" s="653">
        <f>ROUND(L439*K439,2)</f>
        <v>0</v>
      </c>
      <c r="O439" s="619"/>
      <c r="P439" s="619"/>
      <c r="Q439" s="619"/>
      <c r="R439" s="6"/>
      <c r="T439" s="142"/>
    </row>
    <row r="440" spans="2:20" ht="13.5" outlineLevel="1">
      <c r="B440" s="5"/>
      <c r="C440" s="261"/>
      <c r="D440" s="261" t="s">
        <v>64</v>
      </c>
      <c r="E440" s="262">
        <v>712391382</v>
      </c>
      <c r="F440" s="625" t="s">
        <v>435</v>
      </c>
      <c r="G440" s="625"/>
      <c r="H440" s="625"/>
      <c r="I440" s="625"/>
      <c r="J440" s="174" t="s">
        <v>65</v>
      </c>
      <c r="K440" s="264">
        <f>SUM(K441:K442)</f>
        <v>9.1207</v>
      </c>
      <c r="L440" s="626"/>
      <c r="M440" s="626"/>
      <c r="N440" s="619">
        <f>ROUND(L440*K440,2)</f>
        <v>0</v>
      </c>
      <c r="O440" s="619"/>
      <c r="P440" s="619"/>
      <c r="Q440" s="619"/>
      <c r="R440" s="6"/>
      <c r="T440" s="142"/>
    </row>
    <row r="441" spans="2:22" s="177" customFormat="1" ht="13.5" outlineLevel="1">
      <c r="B441" s="175"/>
      <c r="E441" s="319" t="s">
        <v>1100</v>
      </c>
      <c r="F441" s="627" t="s">
        <v>1101</v>
      </c>
      <c r="G441" s="628">
        <f aca="true" t="shared" si="15" ref="G441:I442">2.75*1.25+2.22*2.56+(2.56)*2*0.5</f>
        <v>11.6807</v>
      </c>
      <c r="H441" s="628">
        <f t="shared" si="15"/>
        <v>11.6807</v>
      </c>
      <c r="I441" s="628">
        <f t="shared" si="15"/>
        <v>11.6807</v>
      </c>
      <c r="J441" s="176"/>
      <c r="K441" s="266">
        <f>2.75*1.25</f>
        <v>3.4375</v>
      </c>
      <c r="L441" s="419"/>
      <c r="M441" s="419"/>
      <c r="R441" s="178"/>
      <c r="T441" s="142"/>
      <c r="V441" s="386"/>
    </row>
    <row r="442" spans="2:22" s="177" customFormat="1" ht="13.5" outlineLevel="1">
      <c r="B442" s="175"/>
      <c r="E442" s="319" t="s">
        <v>1099</v>
      </c>
      <c r="F442" s="627" t="s">
        <v>1104</v>
      </c>
      <c r="G442" s="628">
        <f t="shared" si="15"/>
        <v>11.6807</v>
      </c>
      <c r="H442" s="628">
        <f t="shared" si="15"/>
        <v>11.6807</v>
      </c>
      <c r="I442" s="628">
        <f t="shared" si="15"/>
        <v>11.6807</v>
      </c>
      <c r="J442" s="176"/>
      <c r="K442" s="266">
        <f>2.22*2.56</f>
        <v>5.6832</v>
      </c>
      <c r="L442" s="419"/>
      <c r="M442" s="419"/>
      <c r="R442" s="178"/>
      <c r="T442" s="142"/>
      <c r="V442" s="386"/>
    </row>
    <row r="443" spans="2:20" ht="13.5" outlineLevel="1">
      <c r="B443" s="5"/>
      <c r="C443" s="267"/>
      <c r="D443" s="267" t="s">
        <v>67</v>
      </c>
      <c r="E443" s="320">
        <v>58337401</v>
      </c>
      <c r="F443" s="651" t="s">
        <v>436</v>
      </c>
      <c r="G443" s="651"/>
      <c r="H443" s="651"/>
      <c r="I443" s="651"/>
      <c r="J443" s="179" t="s">
        <v>68</v>
      </c>
      <c r="K443" s="268">
        <f>SUM(K444)</f>
        <v>0.5472419999999999</v>
      </c>
      <c r="L443" s="652"/>
      <c r="M443" s="652"/>
      <c r="N443" s="653">
        <f>ROUND(L443*K443,2)</f>
        <v>0</v>
      </c>
      <c r="O443" s="619"/>
      <c r="P443" s="619"/>
      <c r="Q443" s="619"/>
      <c r="R443" s="6"/>
      <c r="T443" s="142"/>
    </row>
    <row r="444" spans="2:22" s="177" customFormat="1" ht="13.5" outlineLevel="1">
      <c r="B444" s="175"/>
      <c r="E444" s="319" t="s">
        <v>1099</v>
      </c>
      <c r="F444" s="627" t="s">
        <v>471</v>
      </c>
      <c r="G444" s="628">
        <f>G440*0.05*2</f>
        <v>0</v>
      </c>
      <c r="H444" s="628">
        <f>H440*0.05*2</f>
        <v>0</v>
      </c>
      <c r="I444" s="628">
        <f>I440*0.05*2</f>
        <v>0</v>
      </c>
      <c r="J444" s="176">
        <v>0.03</v>
      </c>
      <c r="K444" s="266">
        <f>K440*J444*2</f>
        <v>0.5472419999999999</v>
      </c>
      <c r="L444" s="419"/>
      <c r="M444" s="419"/>
      <c r="R444" s="178"/>
      <c r="T444" s="142"/>
      <c r="V444" s="386"/>
    </row>
    <row r="445" spans="2:20" ht="13.5" outlineLevel="1">
      <c r="B445" s="5"/>
      <c r="C445" s="261"/>
      <c r="D445" s="261" t="s">
        <v>64</v>
      </c>
      <c r="E445" s="262">
        <v>998712202</v>
      </c>
      <c r="F445" s="625" t="s">
        <v>1122</v>
      </c>
      <c r="G445" s="625"/>
      <c r="H445" s="625"/>
      <c r="I445" s="625"/>
      <c r="J445" s="174" t="s">
        <v>72</v>
      </c>
      <c r="K445" s="180">
        <f>SUM(N414:Q443)</f>
        <v>0</v>
      </c>
      <c r="L445" s="666"/>
      <c r="M445" s="666"/>
      <c r="N445" s="619">
        <f>ROUND(L445*K445,2)</f>
        <v>0</v>
      </c>
      <c r="O445" s="619"/>
      <c r="P445" s="619"/>
      <c r="Q445" s="619"/>
      <c r="R445" s="6"/>
      <c r="T445" s="142"/>
    </row>
    <row r="446" spans="2:22" s="143" customFormat="1" ht="12.75">
      <c r="B446" s="139"/>
      <c r="C446" s="140"/>
      <c r="D446" s="140" t="s">
        <v>52</v>
      </c>
      <c r="E446" s="140"/>
      <c r="F446" s="140"/>
      <c r="G446" s="140"/>
      <c r="H446" s="140"/>
      <c r="I446" s="140"/>
      <c r="J446" s="172"/>
      <c r="K446" s="140"/>
      <c r="L446" s="186"/>
      <c r="M446" s="186"/>
      <c r="N446" s="633">
        <f>SUM(N447:Q548)</f>
        <v>0</v>
      </c>
      <c r="O446" s="633"/>
      <c r="P446" s="633"/>
      <c r="Q446" s="633"/>
      <c r="R446" s="141"/>
      <c r="T446" s="142">
        <f>SUM(N446:Q548)/2</f>
        <v>0</v>
      </c>
      <c r="U446" s="177"/>
      <c r="V446" s="384"/>
    </row>
    <row r="447" spans="2:21" ht="13.5" outlineLevel="1">
      <c r="B447" s="5"/>
      <c r="C447" s="261"/>
      <c r="D447" s="261"/>
      <c r="E447" s="262"/>
      <c r="F447" s="625"/>
      <c r="G447" s="625"/>
      <c r="H447" s="625"/>
      <c r="I447" s="625"/>
      <c r="J447" s="174"/>
      <c r="K447" s="264"/>
      <c r="L447" s="668"/>
      <c r="M447" s="668"/>
      <c r="N447" s="619"/>
      <c r="O447" s="619"/>
      <c r="P447" s="619"/>
      <c r="Q447" s="619"/>
      <c r="R447" s="6"/>
      <c r="T447" s="199"/>
      <c r="U447" s="4"/>
    </row>
    <row r="448" spans="2:28" s="324" customFormat="1" ht="13.5" outlineLevel="1">
      <c r="B448" s="322"/>
      <c r="C448" s="327"/>
      <c r="D448" s="327" t="s">
        <v>1019</v>
      </c>
      <c r="E448" s="648" t="s">
        <v>1020</v>
      </c>
      <c r="F448" s="649"/>
      <c r="G448" s="649"/>
      <c r="H448" s="649"/>
      <c r="I448" s="650"/>
      <c r="J448" s="328"/>
      <c r="K448" s="329">
        <f>4.26*2</f>
        <v>8.52</v>
      </c>
      <c r="L448" s="654"/>
      <c r="M448" s="654"/>
      <c r="N448" s="655"/>
      <c r="O448" s="655"/>
      <c r="P448" s="655"/>
      <c r="Q448" s="655"/>
      <c r="R448" s="323"/>
      <c r="T448" s="325"/>
      <c r="U448" s="326"/>
      <c r="V448" s="387"/>
      <c r="W448" s="326"/>
      <c r="X448" s="326"/>
      <c r="Y448" s="326"/>
      <c r="Z448" s="326"/>
      <c r="AA448" s="326"/>
      <c r="AB448" s="326"/>
    </row>
    <row r="449" spans="2:29" s="410" customFormat="1" ht="13.5" outlineLevel="1">
      <c r="B449" s="409"/>
      <c r="E449" s="414" t="s">
        <v>2313</v>
      </c>
      <c r="F449" s="646" t="s">
        <v>1134</v>
      </c>
      <c r="G449" s="647">
        <f aca="true" t="shared" si="16" ref="G449:I449">4.26*2</f>
        <v>8.52</v>
      </c>
      <c r="H449" s="647">
        <f t="shared" si="16"/>
        <v>8.52</v>
      </c>
      <c r="I449" s="647">
        <f t="shared" si="16"/>
        <v>8.52</v>
      </c>
      <c r="J449" s="415"/>
      <c r="K449" s="416">
        <f>4.26*2</f>
        <v>8.52</v>
      </c>
      <c r="L449" s="420"/>
      <c r="M449" s="420"/>
      <c r="R449" s="411"/>
      <c r="T449" s="412"/>
      <c r="AC449" s="413"/>
    </row>
    <row r="450" spans="2:20" ht="13.5" outlineLevel="1">
      <c r="B450" s="5"/>
      <c r="C450" s="261"/>
      <c r="D450" s="261" t="s">
        <v>64</v>
      </c>
      <c r="E450" s="262">
        <v>763111741</v>
      </c>
      <c r="F450" s="625" t="s">
        <v>2003</v>
      </c>
      <c r="G450" s="625"/>
      <c r="H450" s="625"/>
      <c r="I450" s="625"/>
      <c r="J450" s="174" t="s">
        <v>65</v>
      </c>
      <c r="K450" s="264">
        <f>SUM(K451:K451)</f>
        <v>8.52</v>
      </c>
      <c r="L450" s="626"/>
      <c r="M450" s="626"/>
      <c r="N450" s="619">
        <f>ROUND(L450*K450,2)</f>
        <v>0</v>
      </c>
      <c r="O450" s="619"/>
      <c r="P450" s="619"/>
      <c r="Q450" s="619"/>
      <c r="R450" s="6"/>
      <c r="T450" s="142"/>
    </row>
    <row r="451" spans="2:22" s="177" customFormat="1" ht="13.5" outlineLevel="1">
      <c r="B451" s="175"/>
      <c r="E451" s="319"/>
      <c r="F451" s="627"/>
      <c r="G451" s="628"/>
      <c r="H451" s="628"/>
      <c r="I451" s="628"/>
      <c r="J451" s="176"/>
      <c r="K451" s="266">
        <f>K448</f>
        <v>8.52</v>
      </c>
      <c r="L451" s="419"/>
      <c r="M451" s="419"/>
      <c r="R451" s="178"/>
      <c r="T451" s="142"/>
      <c r="V451" s="386"/>
    </row>
    <row r="452" spans="2:20" ht="13.5" outlineLevel="1">
      <c r="B452" s="5"/>
      <c r="C452" s="267"/>
      <c r="D452" s="267" t="s">
        <v>67</v>
      </c>
      <c r="E452" s="320">
        <v>28329012</v>
      </c>
      <c r="F452" s="651" t="s">
        <v>120</v>
      </c>
      <c r="G452" s="651"/>
      <c r="H452" s="651"/>
      <c r="I452" s="651"/>
      <c r="J452" s="179" t="s">
        <v>65</v>
      </c>
      <c r="K452" s="268">
        <f>K450*1.2</f>
        <v>10.223999999999998</v>
      </c>
      <c r="L452" s="652"/>
      <c r="M452" s="652"/>
      <c r="N452" s="653">
        <f>ROUND(L452*K452,2)</f>
        <v>0</v>
      </c>
      <c r="O452" s="619"/>
      <c r="P452" s="619"/>
      <c r="Q452" s="619"/>
      <c r="R452" s="6"/>
      <c r="T452" s="142"/>
    </row>
    <row r="453" spans="2:21" ht="13.5" outlineLevel="1">
      <c r="B453" s="5"/>
      <c r="C453" s="261"/>
      <c r="D453" s="261" t="s">
        <v>64</v>
      </c>
      <c r="E453" s="262">
        <v>713191233</v>
      </c>
      <c r="F453" s="625" t="s">
        <v>1027</v>
      </c>
      <c r="G453" s="625"/>
      <c r="H453" s="625"/>
      <c r="I453" s="625"/>
      <c r="J453" s="174" t="s">
        <v>65</v>
      </c>
      <c r="K453" s="264">
        <f>SUM(K454:K455)</f>
        <v>17.04</v>
      </c>
      <c r="L453" s="626"/>
      <c r="M453" s="626"/>
      <c r="N453" s="619">
        <f>ROUND(L453*K453,2)</f>
        <v>0</v>
      </c>
      <c r="O453" s="619"/>
      <c r="P453" s="619"/>
      <c r="Q453" s="619"/>
      <c r="R453" s="6"/>
      <c r="T453" s="199"/>
      <c r="U453" s="4"/>
    </row>
    <row r="454" spans="2:22" s="177" customFormat="1" ht="13.5" outlineLevel="1">
      <c r="B454" s="175"/>
      <c r="E454" s="319" t="s">
        <v>1997</v>
      </c>
      <c r="F454" s="627"/>
      <c r="G454" s="628"/>
      <c r="H454" s="628"/>
      <c r="I454" s="628"/>
      <c r="J454" s="176" t="s">
        <v>2008</v>
      </c>
      <c r="K454" s="266">
        <f>K448</f>
        <v>8.52</v>
      </c>
      <c r="L454" s="419"/>
      <c r="M454" s="419"/>
      <c r="R454" s="178"/>
      <c r="T454" s="142"/>
      <c r="V454" s="386"/>
    </row>
    <row r="455" spans="2:22" s="177" customFormat="1" ht="13.5" outlineLevel="1">
      <c r="B455" s="175"/>
      <c r="E455" s="319" t="s">
        <v>1998</v>
      </c>
      <c r="F455" s="627"/>
      <c r="G455" s="628"/>
      <c r="H455" s="628"/>
      <c r="I455" s="628"/>
      <c r="J455" s="176" t="s">
        <v>2009</v>
      </c>
      <c r="K455" s="266">
        <f>K448</f>
        <v>8.52</v>
      </c>
      <c r="L455" s="419"/>
      <c r="M455" s="419"/>
      <c r="R455" s="178"/>
      <c r="T455" s="142"/>
      <c r="V455" s="386"/>
    </row>
    <row r="456" spans="2:20" ht="13.5" outlineLevel="1">
      <c r="B456" s="5"/>
      <c r="C456" s="267"/>
      <c r="D456" s="267" t="s">
        <v>67</v>
      </c>
      <c r="E456" s="320">
        <v>63152098</v>
      </c>
      <c r="F456" s="651" t="s">
        <v>2011</v>
      </c>
      <c r="G456" s="651"/>
      <c r="H456" s="651"/>
      <c r="I456" s="651"/>
      <c r="J456" s="179" t="s">
        <v>65</v>
      </c>
      <c r="K456" s="268">
        <f>K454*1.05</f>
        <v>8.946</v>
      </c>
      <c r="L456" s="652"/>
      <c r="M456" s="652"/>
      <c r="N456" s="653">
        <f>ROUND(L456*K456,2)</f>
        <v>0</v>
      </c>
      <c r="O456" s="619"/>
      <c r="P456" s="619"/>
      <c r="Q456" s="619"/>
      <c r="R456" s="6"/>
      <c r="T456" s="142"/>
    </row>
    <row r="457" spans="2:20" ht="13.5" outlineLevel="1">
      <c r="B457" s="5"/>
      <c r="C457" s="267"/>
      <c r="D457" s="267" t="s">
        <v>67</v>
      </c>
      <c r="E457" s="320">
        <v>63152106</v>
      </c>
      <c r="F457" s="651" t="s">
        <v>2010</v>
      </c>
      <c r="G457" s="651"/>
      <c r="H457" s="651"/>
      <c r="I457" s="651"/>
      <c r="J457" s="179" t="s">
        <v>65</v>
      </c>
      <c r="K457" s="268">
        <f>K455*1.05</f>
        <v>8.946</v>
      </c>
      <c r="L457" s="652"/>
      <c r="M457" s="652"/>
      <c r="N457" s="653">
        <f>ROUND(L457*K457,2)</f>
        <v>0</v>
      </c>
      <c r="O457" s="619"/>
      <c r="P457" s="619"/>
      <c r="Q457" s="619"/>
      <c r="R457" s="6"/>
      <c r="T457" s="142"/>
    </row>
    <row r="458" spans="2:28" s="324" customFormat="1" ht="11.25" customHeight="1" outlineLevel="1">
      <c r="B458" s="322"/>
      <c r="C458" s="327"/>
      <c r="D458" s="327" t="s">
        <v>1033</v>
      </c>
      <c r="E458" s="648" t="s">
        <v>1035</v>
      </c>
      <c r="F458" s="649"/>
      <c r="G458" s="649"/>
      <c r="H458" s="649"/>
      <c r="I458" s="650"/>
      <c r="J458" s="328"/>
      <c r="K458" s="329">
        <f>6.5*2*(18.7+12.4)/2</f>
        <v>202.15</v>
      </c>
      <c r="L458" s="654"/>
      <c r="M458" s="654"/>
      <c r="N458" s="655"/>
      <c r="O458" s="655"/>
      <c r="P458" s="655"/>
      <c r="Q458" s="655"/>
      <c r="R458" s="323"/>
      <c r="T458" s="325"/>
      <c r="U458" s="326"/>
      <c r="V458" s="387"/>
      <c r="W458" s="326"/>
      <c r="X458" s="326"/>
      <c r="Y458" s="326"/>
      <c r="Z458" s="326"/>
      <c r="AA458" s="326"/>
      <c r="AB458" s="326"/>
    </row>
    <row r="459" spans="2:29" s="410" customFormat="1" ht="13.5" outlineLevel="1">
      <c r="B459" s="409"/>
      <c r="E459" s="414" t="s">
        <v>2314</v>
      </c>
      <c r="F459" s="646" t="s">
        <v>2315</v>
      </c>
      <c r="G459" s="647">
        <f aca="true" t="shared" si="17" ref="G459:I459">6.5*2*(18.7+12.4)/2</f>
        <v>202.15</v>
      </c>
      <c r="H459" s="647">
        <f t="shared" si="17"/>
        <v>202.15</v>
      </c>
      <c r="I459" s="647">
        <f t="shared" si="17"/>
        <v>202.15</v>
      </c>
      <c r="J459" s="415"/>
      <c r="K459" s="416">
        <f>6.5*2*(18.7+12.4)/2</f>
        <v>202.15</v>
      </c>
      <c r="L459" s="420"/>
      <c r="M459" s="420"/>
      <c r="R459" s="411"/>
      <c r="T459" s="412"/>
      <c r="AC459" s="413"/>
    </row>
    <row r="460" spans="2:20" ht="13.5" outlineLevel="1">
      <c r="B460" s="5"/>
      <c r="C460" s="261"/>
      <c r="D460" s="261" t="s">
        <v>64</v>
      </c>
      <c r="E460" s="262">
        <v>713151111</v>
      </c>
      <c r="F460" s="625" t="s">
        <v>1043</v>
      </c>
      <c r="G460" s="625"/>
      <c r="H460" s="625"/>
      <c r="I460" s="625"/>
      <c r="J460" s="174" t="s">
        <v>65</v>
      </c>
      <c r="K460" s="264">
        <f>SUM(K461:K462)</f>
        <v>404.3</v>
      </c>
      <c r="L460" s="626"/>
      <c r="M460" s="626"/>
      <c r="N460" s="658">
        <f>ROUND(L460*K460,2)</f>
        <v>0</v>
      </c>
      <c r="O460" s="659"/>
      <c r="P460" s="659"/>
      <c r="Q460" s="660"/>
      <c r="R460" s="6"/>
      <c r="T460" s="142"/>
    </row>
    <row r="461" spans="2:22" s="177" customFormat="1" ht="11.25" customHeight="1" outlineLevel="1">
      <c r="B461" s="175"/>
      <c r="E461" s="319" t="s">
        <v>1997</v>
      </c>
      <c r="F461" s="627"/>
      <c r="G461" s="628"/>
      <c r="H461" s="628"/>
      <c r="I461" s="628"/>
      <c r="J461" s="176" t="s">
        <v>2008</v>
      </c>
      <c r="K461" s="266">
        <f>K458</f>
        <v>202.15</v>
      </c>
      <c r="L461" s="419"/>
      <c r="M461" s="419"/>
      <c r="R461" s="178"/>
      <c r="T461" s="142"/>
      <c r="V461" s="386"/>
    </row>
    <row r="462" spans="2:22" s="177" customFormat="1" ht="11.25" customHeight="1" outlineLevel="1">
      <c r="B462" s="175"/>
      <c r="E462" s="319" t="s">
        <v>1998</v>
      </c>
      <c r="F462" s="627"/>
      <c r="G462" s="628"/>
      <c r="H462" s="628"/>
      <c r="I462" s="628"/>
      <c r="J462" s="176" t="s">
        <v>2014</v>
      </c>
      <c r="K462" s="266">
        <f>K458</f>
        <v>202.15</v>
      </c>
      <c r="L462" s="419"/>
      <c r="M462" s="419"/>
      <c r="R462" s="178"/>
      <c r="T462" s="142"/>
      <c r="V462" s="386"/>
    </row>
    <row r="463" spans="2:20" ht="11.25" customHeight="1" outlineLevel="1">
      <c r="B463" s="5"/>
      <c r="C463" s="267"/>
      <c r="D463" s="267" t="s">
        <v>67</v>
      </c>
      <c r="E463" s="320">
        <v>63152098</v>
      </c>
      <c r="F463" s="651" t="s">
        <v>2011</v>
      </c>
      <c r="G463" s="651"/>
      <c r="H463" s="651"/>
      <c r="I463" s="651"/>
      <c r="J463" s="179" t="s">
        <v>65</v>
      </c>
      <c r="K463" s="268">
        <f>K461*1.05</f>
        <v>212.25750000000002</v>
      </c>
      <c r="L463" s="652"/>
      <c r="M463" s="652"/>
      <c r="N463" s="653">
        <f>ROUND(L463*K463,2)</f>
        <v>0</v>
      </c>
      <c r="O463" s="619"/>
      <c r="P463" s="619"/>
      <c r="Q463" s="619"/>
      <c r="R463" s="6"/>
      <c r="T463" s="142"/>
    </row>
    <row r="464" spans="2:20" ht="11.25" customHeight="1" outlineLevel="1">
      <c r="B464" s="5"/>
      <c r="C464" s="267"/>
      <c r="D464" s="267" t="s">
        <v>67</v>
      </c>
      <c r="E464" s="320">
        <v>63152104</v>
      </c>
      <c r="F464" s="651" t="s">
        <v>1992</v>
      </c>
      <c r="G464" s="651"/>
      <c r="H464" s="651"/>
      <c r="I464" s="651"/>
      <c r="J464" s="179" t="s">
        <v>65</v>
      </c>
      <c r="K464" s="268">
        <f>K462*1.05</f>
        <v>212.25750000000002</v>
      </c>
      <c r="L464" s="652"/>
      <c r="M464" s="652"/>
      <c r="N464" s="653">
        <f>ROUND(L464*K464,2)</f>
        <v>0</v>
      </c>
      <c r="O464" s="619"/>
      <c r="P464" s="619"/>
      <c r="Q464" s="619"/>
      <c r="R464" s="6"/>
      <c r="T464" s="142"/>
    </row>
    <row r="465" spans="2:20" ht="27" customHeight="1" outlineLevel="1">
      <c r="B465" s="5"/>
      <c r="C465" s="261"/>
      <c r="D465" s="261" t="s">
        <v>64</v>
      </c>
      <c r="E465" s="262">
        <v>713191133</v>
      </c>
      <c r="F465" s="661" t="s">
        <v>1037</v>
      </c>
      <c r="G465" s="662"/>
      <c r="H465" s="662"/>
      <c r="I465" s="663"/>
      <c r="J465" s="174" t="s">
        <v>65</v>
      </c>
      <c r="K465" s="264">
        <f>K458</f>
        <v>202.15</v>
      </c>
      <c r="L465" s="664"/>
      <c r="M465" s="665"/>
      <c r="N465" s="658">
        <f>ROUND(L465*K465,2)</f>
        <v>0</v>
      </c>
      <c r="O465" s="659"/>
      <c r="P465" s="659"/>
      <c r="Q465" s="660"/>
      <c r="R465" s="6"/>
      <c r="T465" s="142"/>
    </row>
    <row r="466" spans="2:20" ht="26.25" customHeight="1" outlineLevel="1">
      <c r="B466" s="5"/>
      <c r="C466" s="267"/>
      <c r="D466" s="267" t="s">
        <v>67</v>
      </c>
      <c r="E466" s="320">
        <v>28329028</v>
      </c>
      <c r="F466" s="651" t="s">
        <v>1038</v>
      </c>
      <c r="G466" s="651"/>
      <c r="H466" s="651"/>
      <c r="I466" s="651"/>
      <c r="J466" s="179" t="s">
        <v>65</v>
      </c>
      <c r="K466" s="268">
        <f>K465</f>
        <v>202.15</v>
      </c>
      <c r="L466" s="652"/>
      <c r="M466" s="652"/>
      <c r="N466" s="653">
        <f>ROUND(L466*K466,2)</f>
        <v>0</v>
      </c>
      <c r="O466" s="619"/>
      <c r="P466" s="619"/>
      <c r="Q466" s="619"/>
      <c r="R466" s="6"/>
      <c r="T466" s="142"/>
    </row>
    <row r="467" spans="2:28" s="324" customFormat="1" ht="13.5" outlineLevel="1">
      <c r="B467" s="322"/>
      <c r="C467" s="327"/>
      <c r="D467" s="327" t="s">
        <v>1039</v>
      </c>
      <c r="E467" s="648" t="s">
        <v>1040</v>
      </c>
      <c r="F467" s="649"/>
      <c r="G467" s="649"/>
      <c r="H467" s="649"/>
      <c r="I467" s="650"/>
      <c r="J467" s="328"/>
      <c r="K467" s="329">
        <f>2.4*1.7*2</f>
        <v>8.16</v>
      </c>
      <c r="L467" s="654"/>
      <c r="M467" s="654"/>
      <c r="N467" s="655"/>
      <c r="O467" s="655"/>
      <c r="P467" s="655"/>
      <c r="Q467" s="655"/>
      <c r="R467" s="323"/>
      <c r="T467" s="325"/>
      <c r="U467" s="326"/>
      <c r="V467" s="387"/>
      <c r="W467" s="326"/>
      <c r="X467" s="326"/>
      <c r="Y467" s="326"/>
      <c r="Z467" s="326"/>
      <c r="AA467" s="326"/>
      <c r="AB467" s="326"/>
    </row>
    <row r="468" spans="2:29" s="410" customFormat="1" ht="13.5" outlineLevel="1">
      <c r="B468" s="409"/>
      <c r="E468" s="414" t="s">
        <v>2316</v>
      </c>
      <c r="F468" s="646" t="s">
        <v>1168</v>
      </c>
      <c r="G468" s="647">
        <f aca="true" t="shared" si="18" ref="G468:I468">2.4*1.7*2</f>
        <v>8.16</v>
      </c>
      <c r="H468" s="647">
        <f t="shared" si="18"/>
        <v>8.16</v>
      </c>
      <c r="I468" s="647">
        <f t="shared" si="18"/>
        <v>8.16</v>
      </c>
      <c r="J468" s="415"/>
      <c r="K468" s="416">
        <f>2.4*1.7*2</f>
        <v>8.16</v>
      </c>
      <c r="L468" s="420"/>
      <c r="M468" s="420"/>
      <c r="R468" s="411"/>
      <c r="T468" s="412"/>
      <c r="AC468" s="413"/>
    </row>
    <row r="469" spans="2:20" ht="13.5" outlineLevel="1">
      <c r="B469" s="5"/>
      <c r="C469" s="261"/>
      <c r="D469" s="261" t="s">
        <v>64</v>
      </c>
      <c r="E469" s="262">
        <v>713151111</v>
      </c>
      <c r="F469" s="625" t="s">
        <v>1043</v>
      </c>
      <c r="G469" s="625"/>
      <c r="H469" s="625"/>
      <c r="I469" s="625"/>
      <c r="J469" s="174" t="s">
        <v>65</v>
      </c>
      <c r="K469" s="264">
        <f>SUM(K470:K471)</f>
        <v>16.32</v>
      </c>
      <c r="L469" s="626"/>
      <c r="M469" s="626"/>
      <c r="N469" s="658">
        <f>ROUND(L469*K469,2)</f>
        <v>0</v>
      </c>
      <c r="O469" s="659"/>
      <c r="P469" s="659"/>
      <c r="Q469" s="660"/>
      <c r="R469" s="6"/>
      <c r="T469" s="142"/>
    </row>
    <row r="470" spans="2:22" s="177" customFormat="1" ht="11.25" customHeight="1" outlineLevel="1">
      <c r="B470" s="175"/>
      <c r="E470" s="319" t="s">
        <v>1997</v>
      </c>
      <c r="F470" s="627"/>
      <c r="G470" s="628"/>
      <c r="H470" s="628"/>
      <c r="I470" s="628"/>
      <c r="J470" s="176" t="s">
        <v>2008</v>
      </c>
      <c r="K470" s="266">
        <f>K467</f>
        <v>8.16</v>
      </c>
      <c r="L470" s="419"/>
      <c r="M470" s="419"/>
      <c r="R470" s="178"/>
      <c r="T470" s="142"/>
      <c r="V470" s="386"/>
    </row>
    <row r="471" spans="2:22" s="177" customFormat="1" ht="11.25" customHeight="1" outlineLevel="1">
      <c r="B471" s="175"/>
      <c r="E471" s="319" t="s">
        <v>1998</v>
      </c>
      <c r="F471" s="627"/>
      <c r="G471" s="628"/>
      <c r="H471" s="628"/>
      <c r="I471" s="628"/>
      <c r="J471" s="176" t="s">
        <v>2014</v>
      </c>
      <c r="K471" s="266">
        <f>K467</f>
        <v>8.16</v>
      </c>
      <c r="L471" s="419"/>
      <c r="M471" s="419"/>
      <c r="R471" s="178"/>
      <c r="T471" s="142"/>
      <c r="V471" s="386"/>
    </row>
    <row r="472" spans="2:20" ht="11.25" customHeight="1" outlineLevel="1">
      <c r="B472" s="5"/>
      <c r="C472" s="267"/>
      <c r="D472" s="267" t="s">
        <v>67</v>
      </c>
      <c r="E472" s="320">
        <v>63152098</v>
      </c>
      <c r="F472" s="651" t="s">
        <v>2011</v>
      </c>
      <c r="G472" s="651"/>
      <c r="H472" s="651"/>
      <c r="I472" s="651"/>
      <c r="J472" s="179" t="s">
        <v>65</v>
      </c>
      <c r="K472" s="268">
        <f>K470*1.05</f>
        <v>8.568000000000001</v>
      </c>
      <c r="L472" s="652"/>
      <c r="M472" s="652"/>
      <c r="N472" s="653">
        <f>ROUND(L472*K472,2)</f>
        <v>0</v>
      </c>
      <c r="O472" s="619"/>
      <c r="P472" s="619"/>
      <c r="Q472" s="619"/>
      <c r="R472" s="6"/>
      <c r="T472" s="142"/>
    </row>
    <row r="473" spans="2:20" ht="11.25" customHeight="1" outlineLevel="1">
      <c r="B473" s="5"/>
      <c r="C473" s="267"/>
      <c r="D473" s="267" t="s">
        <v>67</v>
      </c>
      <c r="E473" s="320">
        <v>63152104</v>
      </c>
      <c r="F473" s="651" t="s">
        <v>1992</v>
      </c>
      <c r="G473" s="651"/>
      <c r="H473" s="651"/>
      <c r="I473" s="651"/>
      <c r="J473" s="179" t="s">
        <v>65</v>
      </c>
      <c r="K473" s="268">
        <f>K471*1.05</f>
        <v>8.568000000000001</v>
      </c>
      <c r="L473" s="652"/>
      <c r="M473" s="652"/>
      <c r="N473" s="653">
        <f>ROUND(L473*K473,2)</f>
        <v>0</v>
      </c>
      <c r="O473" s="619"/>
      <c r="P473" s="619"/>
      <c r="Q473" s="619"/>
      <c r="R473" s="6"/>
      <c r="T473" s="142"/>
    </row>
    <row r="474" spans="2:20" ht="27" customHeight="1" outlineLevel="1">
      <c r="B474" s="5"/>
      <c r="C474" s="261"/>
      <c r="D474" s="261" t="s">
        <v>64</v>
      </c>
      <c r="E474" s="262">
        <v>713191133</v>
      </c>
      <c r="F474" s="661" t="s">
        <v>1037</v>
      </c>
      <c r="G474" s="662"/>
      <c r="H474" s="662"/>
      <c r="I474" s="663"/>
      <c r="J474" s="174" t="s">
        <v>65</v>
      </c>
      <c r="K474" s="264">
        <f>K467</f>
        <v>8.16</v>
      </c>
      <c r="L474" s="664"/>
      <c r="M474" s="665"/>
      <c r="N474" s="658">
        <f>ROUND(L474*K474,2)</f>
        <v>0</v>
      </c>
      <c r="O474" s="659"/>
      <c r="P474" s="659"/>
      <c r="Q474" s="660"/>
      <c r="R474" s="6"/>
      <c r="T474" s="142"/>
    </row>
    <row r="475" spans="2:20" ht="26.25" customHeight="1" outlineLevel="1">
      <c r="B475" s="5"/>
      <c r="C475" s="267"/>
      <c r="D475" s="267" t="s">
        <v>67</v>
      </c>
      <c r="E475" s="320">
        <v>28329028</v>
      </c>
      <c r="F475" s="651" t="s">
        <v>1038</v>
      </c>
      <c r="G475" s="651"/>
      <c r="H475" s="651"/>
      <c r="I475" s="651"/>
      <c r="J475" s="179" t="s">
        <v>65</v>
      </c>
      <c r="K475" s="268">
        <f>K474*1.05</f>
        <v>8.568000000000001</v>
      </c>
      <c r="L475" s="652"/>
      <c r="M475" s="652"/>
      <c r="N475" s="653">
        <f>ROUND(L475*K475,2)</f>
        <v>0</v>
      </c>
      <c r="O475" s="619"/>
      <c r="P475" s="619"/>
      <c r="Q475" s="619"/>
      <c r="R475" s="6"/>
      <c r="T475" s="142"/>
    </row>
    <row r="476" spans="2:28" s="324" customFormat="1" ht="13.5" outlineLevel="1">
      <c r="B476" s="322"/>
      <c r="C476" s="327"/>
      <c r="D476" s="327" t="s">
        <v>1045</v>
      </c>
      <c r="E476" s="648" t="s">
        <v>1993</v>
      </c>
      <c r="F476" s="649"/>
      <c r="G476" s="649"/>
      <c r="H476" s="649"/>
      <c r="I476" s="650"/>
      <c r="J476" s="328"/>
      <c r="K476" s="329">
        <f>2.3*(12.4+3)</f>
        <v>35.419999999999995</v>
      </c>
      <c r="L476" s="654"/>
      <c r="M476" s="654"/>
      <c r="N476" s="655"/>
      <c r="O476" s="655"/>
      <c r="P476" s="655"/>
      <c r="Q476" s="655"/>
      <c r="R476" s="323"/>
      <c r="T476" s="325"/>
      <c r="U476" s="326"/>
      <c r="V476" s="387"/>
      <c r="W476" s="326"/>
      <c r="X476" s="326"/>
      <c r="Y476" s="326"/>
      <c r="Z476" s="326"/>
      <c r="AA476" s="326"/>
      <c r="AB476" s="326"/>
    </row>
    <row r="477" spans="2:29" s="410" customFormat="1" ht="13.5" outlineLevel="1">
      <c r="B477" s="409"/>
      <c r="E477" s="414" t="s">
        <v>2318</v>
      </c>
      <c r="F477" s="646" t="s">
        <v>2317</v>
      </c>
      <c r="G477" s="647">
        <f aca="true" t="shared" si="19" ref="G477:I477">2.3*(12.4+3)</f>
        <v>35.419999999999995</v>
      </c>
      <c r="H477" s="647">
        <f t="shared" si="19"/>
        <v>35.419999999999995</v>
      </c>
      <c r="I477" s="647">
        <f t="shared" si="19"/>
        <v>35.419999999999995</v>
      </c>
      <c r="J477" s="415"/>
      <c r="K477" s="416">
        <f>2.3*(12.4+3)</f>
        <v>35.419999999999995</v>
      </c>
      <c r="L477" s="420"/>
      <c r="M477" s="420"/>
      <c r="R477" s="411"/>
      <c r="T477" s="412"/>
      <c r="AC477" s="413"/>
    </row>
    <row r="478" spans="2:20" ht="27" customHeight="1" outlineLevel="1">
      <c r="B478" s="5"/>
      <c r="C478" s="261"/>
      <c r="D478" s="261" t="s">
        <v>64</v>
      </c>
      <c r="E478" s="262">
        <v>713141151</v>
      </c>
      <c r="F478" s="661" t="s">
        <v>430</v>
      </c>
      <c r="G478" s="662"/>
      <c r="H478" s="662"/>
      <c r="I478" s="663"/>
      <c r="J478" s="174" t="s">
        <v>65</v>
      </c>
      <c r="K478" s="264">
        <f>SUM(K479:K480)</f>
        <v>70.83999999999999</v>
      </c>
      <c r="L478" s="664"/>
      <c r="M478" s="665"/>
      <c r="N478" s="658">
        <f>ROUND(L478*K478,2)</f>
        <v>0</v>
      </c>
      <c r="O478" s="659"/>
      <c r="P478" s="659"/>
      <c r="Q478" s="660"/>
      <c r="R478" s="6"/>
      <c r="T478" s="142"/>
    </row>
    <row r="479" spans="2:22" s="177" customFormat="1" ht="11.25" customHeight="1" outlineLevel="1">
      <c r="B479" s="175"/>
      <c r="E479" s="319" t="s">
        <v>1997</v>
      </c>
      <c r="F479" s="627"/>
      <c r="G479" s="628"/>
      <c r="H479" s="628"/>
      <c r="I479" s="628"/>
      <c r="J479" s="176" t="s">
        <v>2014</v>
      </c>
      <c r="K479" s="266">
        <f>K476</f>
        <v>35.419999999999995</v>
      </c>
      <c r="L479" s="419"/>
      <c r="M479" s="419"/>
      <c r="R479" s="178"/>
      <c r="T479" s="142"/>
      <c r="V479" s="386"/>
    </row>
    <row r="480" spans="2:22" s="177" customFormat="1" ht="11.25" customHeight="1" outlineLevel="1">
      <c r="B480" s="175"/>
      <c r="E480" s="319" t="s">
        <v>1998</v>
      </c>
      <c r="F480" s="627"/>
      <c r="G480" s="628"/>
      <c r="H480" s="628"/>
      <c r="I480" s="628"/>
      <c r="J480" s="176" t="s">
        <v>2012</v>
      </c>
      <c r="K480" s="266">
        <f>K476</f>
        <v>35.419999999999995</v>
      </c>
      <c r="L480" s="419"/>
      <c r="M480" s="419"/>
      <c r="R480" s="178"/>
      <c r="T480" s="142"/>
      <c r="V480" s="386"/>
    </row>
    <row r="481" spans="2:20" ht="11.25" customHeight="1" outlineLevel="1">
      <c r="B481" s="5"/>
      <c r="C481" s="267"/>
      <c r="D481" s="267" t="s">
        <v>67</v>
      </c>
      <c r="E481" s="320">
        <v>63152104</v>
      </c>
      <c r="F481" s="651" t="s">
        <v>1992</v>
      </c>
      <c r="G481" s="651"/>
      <c r="H481" s="651"/>
      <c r="I481" s="651"/>
      <c r="J481" s="179" t="s">
        <v>65</v>
      </c>
      <c r="K481" s="268">
        <f>K479*1.05</f>
        <v>37.190999999999995</v>
      </c>
      <c r="L481" s="652"/>
      <c r="M481" s="652"/>
      <c r="N481" s="653">
        <f>ROUND(L481*K481,2)</f>
        <v>0</v>
      </c>
      <c r="O481" s="619"/>
      <c r="P481" s="619"/>
      <c r="Q481" s="619"/>
      <c r="R481" s="6"/>
      <c r="T481" s="142"/>
    </row>
    <row r="482" spans="2:20" ht="13.5" outlineLevel="1">
      <c r="B482" s="5"/>
      <c r="C482" s="267"/>
      <c r="D482" s="267" t="s">
        <v>67</v>
      </c>
      <c r="E482" s="320">
        <v>63152108</v>
      </c>
      <c r="F482" s="651" t="s">
        <v>427</v>
      </c>
      <c r="G482" s="651"/>
      <c r="H482" s="651"/>
      <c r="I482" s="651"/>
      <c r="J482" s="179" t="s">
        <v>65</v>
      </c>
      <c r="K482" s="268">
        <f>(K480)*1.05</f>
        <v>37.190999999999995</v>
      </c>
      <c r="L482" s="652"/>
      <c r="M482" s="652"/>
      <c r="N482" s="653">
        <f>ROUND(L482*K482,2)</f>
        <v>0</v>
      </c>
      <c r="O482" s="619"/>
      <c r="P482" s="619"/>
      <c r="Q482" s="619"/>
      <c r="R482" s="6"/>
      <c r="T482" s="142"/>
    </row>
    <row r="483" spans="2:20" ht="27" customHeight="1" outlineLevel="1">
      <c r="B483" s="5"/>
      <c r="C483" s="261"/>
      <c r="D483" s="261" t="s">
        <v>64</v>
      </c>
      <c r="E483" s="262">
        <v>713191133</v>
      </c>
      <c r="F483" s="661" t="s">
        <v>1037</v>
      </c>
      <c r="G483" s="662"/>
      <c r="H483" s="662"/>
      <c r="I483" s="663"/>
      <c r="J483" s="174" t="s">
        <v>65</v>
      </c>
      <c r="K483" s="264">
        <f>K476</f>
        <v>35.419999999999995</v>
      </c>
      <c r="L483" s="664"/>
      <c r="M483" s="665"/>
      <c r="N483" s="658">
        <f>ROUND(L483*K483,2)</f>
        <v>0</v>
      </c>
      <c r="O483" s="659"/>
      <c r="P483" s="659"/>
      <c r="Q483" s="660"/>
      <c r="R483" s="6"/>
      <c r="T483" s="142"/>
    </row>
    <row r="484" spans="2:20" ht="26.25" customHeight="1" outlineLevel="1">
      <c r="B484" s="5"/>
      <c r="C484" s="267"/>
      <c r="D484" s="267" t="s">
        <v>67</v>
      </c>
      <c r="E484" s="320">
        <v>28329028</v>
      </c>
      <c r="F484" s="651" t="s">
        <v>1038</v>
      </c>
      <c r="G484" s="651"/>
      <c r="H484" s="651"/>
      <c r="I484" s="651"/>
      <c r="J484" s="179" t="s">
        <v>65</v>
      </c>
      <c r="K484" s="268">
        <f>K483</f>
        <v>35.419999999999995</v>
      </c>
      <c r="L484" s="652"/>
      <c r="M484" s="652"/>
      <c r="N484" s="653">
        <f>ROUND(L484*K484,2)</f>
        <v>0</v>
      </c>
      <c r="O484" s="619"/>
      <c r="P484" s="619"/>
      <c r="Q484" s="619"/>
      <c r="R484" s="6"/>
      <c r="T484" s="142"/>
    </row>
    <row r="485" spans="2:28" s="324" customFormat="1" ht="11.25" customHeight="1" outlineLevel="1">
      <c r="B485" s="322"/>
      <c r="C485" s="327"/>
      <c r="D485" s="327" t="s">
        <v>1046</v>
      </c>
      <c r="E485" s="648" t="s">
        <v>1047</v>
      </c>
      <c r="F485" s="649"/>
      <c r="G485" s="649"/>
      <c r="H485" s="649"/>
      <c r="I485" s="650"/>
      <c r="J485" s="328"/>
      <c r="K485" s="329">
        <f>4.2*2*(23.6+32.3)/2</f>
        <v>234.78</v>
      </c>
      <c r="L485" s="654"/>
      <c r="M485" s="654"/>
      <c r="N485" s="655"/>
      <c r="O485" s="655"/>
      <c r="P485" s="655"/>
      <c r="Q485" s="655"/>
      <c r="R485" s="323"/>
      <c r="T485" s="325"/>
      <c r="U485" s="326"/>
      <c r="V485" s="387"/>
      <c r="W485" s="326"/>
      <c r="X485" s="326"/>
      <c r="Y485" s="326"/>
      <c r="Z485" s="326"/>
      <c r="AA485" s="326"/>
      <c r="AB485" s="326"/>
    </row>
    <row r="486" spans="2:29" s="410" customFormat="1" ht="13.5" outlineLevel="1">
      <c r="B486" s="409"/>
      <c r="E486" s="414" t="s">
        <v>2319</v>
      </c>
      <c r="F486" s="646" t="s">
        <v>2320</v>
      </c>
      <c r="G486" s="647">
        <f aca="true" t="shared" si="20" ref="G486:I486">4.2*2*(23.6+32.3)/2</f>
        <v>234.78</v>
      </c>
      <c r="H486" s="647">
        <f t="shared" si="20"/>
        <v>234.78</v>
      </c>
      <c r="I486" s="647">
        <f t="shared" si="20"/>
        <v>234.78</v>
      </c>
      <c r="J486" s="415"/>
      <c r="K486" s="416">
        <f>4.2*2*(23.6+32.3)/2</f>
        <v>234.78</v>
      </c>
      <c r="L486" s="420"/>
      <c r="M486" s="420"/>
      <c r="R486" s="411"/>
      <c r="T486" s="412"/>
      <c r="AC486" s="413"/>
    </row>
    <row r="487" spans="2:20" ht="13.5" outlineLevel="1">
      <c r="B487" s="5"/>
      <c r="C487" s="261"/>
      <c r="D487" s="261" t="s">
        <v>64</v>
      </c>
      <c r="E487" s="262">
        <v>713151111</v>
      </c>
      <c r="F487" s="625" t="s">
        <v>1043</v>
      </c>
      <c r="G487" s="625"/>
      <c r="H487" s="625"/>
      <c r="I487" s="625"/>
      <c r="J487" s="174" t="s">
        <v>65</v>
      </c>
      <c r="K487" s="264">
        <f>SUM(K488:K489)</f>
        <v>469.56</v>
      </c>
      <c r="L487" s="626"/>
      <c r="M487" s="626"/>
      <c r="N487" s="658">
        <f>ROUND(L487*K487,2)</f>
        <v>0</v>
      </c>
      <c r="O487" s="659"/>
      <c r="P487" s="659"/>
      <c r="Q487" s="660"/>
      <c r="R487" s="6"/>
      <c r="T487" s="142"/>
    </row>
    <row r="488" spans="2:22" s="177" customFormat="1" ht="11.25" customHeight="1" outlineLevel="1">
      <c r="B488" s="175"/>
      <c r="E488" s="319" t="s">
        <v>1997</v>
      </c>
      <c r="F488" s="627"/>
      <c r="G488" s="628"/>
      <c r="H488" s="628"/>
      <c r="I488" s="628"/>
      <c r="J488" s="176" t="s">
        <v>2008</v>
      </c>
      <c r="K488" s="266">
        <f>K485</f>
        <v>234.78</v>
      </c>
      <c r="L488" s="419"/>
      <c r="M488" s="419"/>
      <c r="R488" s="178"/>
      <c r="T488" s="142"/>
      <c r="V488" s="386"/>
    </row>
    <row r="489" spans="2:22" s="177" customFormat="1" ht="11.25" customHeight="1" outlineLevel="1">
      <c r="B489" s="175"/>
      <c r="E489" s="319" t="s">
        <v>1998</v>
      </c>
      <c r="F489" s="627"/>
      <c r="G489" s="628"/>
      <c r="H489" s="628"/>
      <c r="I489" s="628"/>
      <c r="J489" s="176" t="s">
        <v>2014</v>
      </c>
      <c r="K489" s="266">
        <f>K485</f>
        <v>234.78</v>
      </c>
      <c r="L489" s="419"/>
      <c r="M489" s="419"/>
      <c r="R489" s="178"/>
      <c r="T489" s="142"/>
      <c r="V489" s="386"/>
    </row>
    <row r="490" spans="2:20" ht="11.25" customHeight="1" outlineLevel="1">
      <c r="B490" s="5"/>
      <c r="C490" s="267"/>
      <c r="D490" s="267" t="s">
        <v>67</v>
      </c>
      <c r="E490" s="320">
        <v>63152098</v>
      </c>
      <c r="F490" s="651" t="s">
        <v>2011</v>
      </c>
      <c r="G490" s="651"/>
      <c r="H490" s="651"/>
      <c r="I490" s="651"/>
      <c r="J490" s="179" t="s">
        <v>65</v>
      </c>
      <c r="K490" s="268">
        <f>K488*1.05</f>
        <v>246.519</v>
      </c>
      <c r="L490" s="652"/>
      <c r="M490" s="652"/>
      <c r="N490" s="653">
        <f>ROUND(L490*K490,2)</f>
        <v>0</v>
      </c>
      <c r="O490" s="619"/>
      <c r="P490" s="619"/>
      <c r="Q490" s="619"/>
      <c r="R490" s="6"/>
      <c r="T490" s="142"/>
    </row>
    <row r="491" spans="2:20" ht="11.25" customHeight="1" outlineLevel="1">
      <c r="B491" s="5"/>
      <c r="C491" s="267"/>
      <c r="D491" s="267" t="s">
        <v>67</v>
      </c>
      <c r="E491" s="320">
        <v>63152104</v>
      </c>
      <c r="F491" s="651" t="s">
        <v>1992</v>
      </c>
      <c r="G491" s="651"/>
      <c r="H491" s="651"/>
      <c r="I491" s="651"/>
      <c r="J491" s="179" t="s">
        <v>65</v>
      </c>
      <c r="K491" s="268">
        <f>K489*1.05</f>
        <v>246.519</v>
      </c>
      <c r="L491" s="652"/>
      <c r="M491" s="652"/>
      <c r="N491" s="653">
        <f>ROUND(L491*K491,2)</f>
        <v>0</v>
      </c>
      <c r="O491" s="619"/>
      <c r="P491" s="619"/>
      <c r="Q491" s="619"/>
      <c r="R491" s="6"/>
      <c r="T491" s="142"/>
    </row>
    <row r="492" spans="2:20" ht="27" customHeight="1" outlineLevel="1">
      <c r="B492" s="5"/>
      <c r="C492" s="261"/>
      <c r="D492" s="261" t="s">
        <v>64</v>
      </c>
      <c r="E492" s="262">
        <v>713191133</v>
      </c>
      <c r="F492" s="661" t="s">
        <v>1037</v>
      </c>
      <c r="G492" s="662"/>
      <c r="H492" s="662"/>
      <c r="I492" s="663"/>
      <c r="J492" s="174" t="s">
        <v>65</v>
      </c>
      <c r="K492" s="264">
        <f>K485</f>
        <v>234.78</v>
      </c>
      <c r="L492" s="664"/>
      <c r="M492" s="665"/>
      <c r="N492" s="658">
        <f>ROUND(L492*K492,2)</f>
        <v>0</v>
      </c>
      <c r="O492" s="659"/>
      <c r="P492" s="659"/>
      <c r="Q492" s="660"/>
      <c r="R492" s="6"/>
      <c r="T492" s="142"/>
    </row>
    <row r="493" spans="2:20" ht="26.25" customHeight="1" outlineLevel="1">
      <c r="B493" s="5"/>
      <c r="C493" s="267"/>
      <c r="D493" s="267" t="s">
        <v>67</v>
      </c>
      <c r="E493" s="320">
        <v>28329028</v>
      </c>
      <c r="F493" s="651" t="s">
        <v>1038</v>
      </c>
      <c r="G493" s="651"/>
      <c r="H493" s="651"/>
      <c r="I493" s="651"/>
      <c r="J493" s="179" t="s">
        <v>65</v>
      </c>
      <c r="K493" s="268">
        <f>K492</f>
        <v>234.78</v>
      </c>
      <c r="L493" s="652"/>
      <c r="M493" s="652"/>
      <c r="N493" s="653">
        <f>ROUND(L493*K493,2)</f>
        <v>0</v>
      </c>
      <c r="O493" s="619"/>
      <c r="P493" s="619"/>
      <c r="Q493" s="619"/>
      <c r="R493" s="6"/>
      <c r="T493" s="142"/>
    </row>
    <row r="494" spans="2:28" s="324" customFormat="1" ht="13.5" outlineLevel="1">
      <c r="B494" s="322"/>
      <c r="C494" s="327"/>
      <c r="D494" s="327" t="s">
        <v>1048</v>
      </c>
      <c r="E494" s="648" t="s">
        <v>1049</v>
      </c>
      <c r="F494" s="649"/>
      <c r="G494" s="649"/>
      <c r="H494" s="649"/>
      <c r="I494" s="650"/>
      <c r="J494" s="328"/>
      <c r="K494" s="329">
        <f>2.4*1.7*9</f>
        <v>36.72</v>
      </c>
      <c r="L494" s="654"/>
      <c r="M494" s="654"/>
      <c r="N494" s="655"/>
      <c r="O494" s="655"/>
      <c r="P494" s="655"/>
      <c r="Q494" s="655"/>
      <c r="R494" s="323"/>
      <c r="T494" s="325"/>
      <c r="U494" s="326"/>
      <c r="V494" s="387"/>
      <c r="W494" s="326"/>
      <c r="X494" s="326"/>
      <c r="Y494" s="326"/>
      <c r="Z494" s="326"/>
      <c r="AA494" s="326"/>
      <c r="AB494" s="326"/>
    </row>
    <row r="495" spans="2:29" s="410" customFormat="1" ht="13.5" outlineLevel="1">
      <c r="B495" s="409"/>
      <c r="E495" s="414" t="s">
        <v>2321</v>
      </c>
      <c r="F495" s="646" t="s">
        <v>1169</v>
      </c>
      <c r="G495" s="647">
        <f aca="true" t="shared" si="21" ref="G495:I495">2.4*1.7*9</f>
        <v>36.72</v>
      </c>
      <c r="H495" s="647">
        <f t="shared" si="21"/>
        <v>36.72</v>
      </c>
      <c r="I495" s="647">
        <f t="shared" si="21"/>
        <v>36.72</v>
      </c>
      <c r="J495" s="415"/>
      <c r="K495" s="416">
        <f>2.4*1.7*9</f>
        <v>36.72</v>
      </c>
      <c r="L495" s="420"/>
      <c r="M495" s="420"/>
      <c r="R495" s="411"/>
      <c r="T495" s="412"/>
      <c r="AC495" s="413"/>
    </row>
    <row r="496" spans="2:20" ht="13.5" outlineLevel="1">
      <c r="B496" s="5"/>
      <c r="C496" s="261"/>
      <c r="D496" s="261" t="s">
        <v>64</v>
      </c>
      <c r="E496" s="262">
        <v>713151111</v>
      </c>
      <c r="F496" s="625" t="s">
        <v>1043</v>
      </c>
      <c r="G496" s="625"/>
      <c r="H496" s="625"/>
      <c r="I496" s="625"/>
      <c r="J496" s="174" t="s">
        <v>65</v>
      </c>
      <c r="K496" s="264">
        <f>SUM(K497:K498)</f>
        <v>73.44</v>
      </c>
      <c r="L496" s="626"/>
      <c r="M496" s="626"/>
      <c r="N496" s="658">
        <f>ROUND(L496*K496,2)</f>
        <v>0</v>
      </c>
      <c r="O496" s="659"/>
      <c r="P496" s="659"/>
      <c r="Q496" s="660"/>
      <c r="R496" s="6"/>
      <c r="T496" s="142"/>
    </row>
    <row r="497" spans="2:22" s="177" customFormat="1" ht="11.25" customHeight="1" outlineLevel="1">
      <c r="B497" s="175"/>
      <c r="E497" s="319" t="s">
        <v>1997</v>
      </c>
      <c r="F497" s="627"/>
      <c r="G497" s="628"/>
      <c r="H497" s="628"/>
      <c r="I497" s="628"/>
      <c r="J497" s="176" t="s">
        <v>2008</v>
      </c>
      <c r="K497" s="266">
        <f>K494</f>
        <v>36.72</v>
      </c>
      <c r="L497" s="419"/>
      <c r="M497" s="419"/>
      <c r="R497" s="178"/>
      <c r="T497" s="142"/>
      <c r="V497" s="386"/>
    </row>
    <row r="498" spans="2:22" s="177" customFormat="1" ht="11.25" customHeight="1" outlineLevel="1">
      <c r="B498" s="175"/>
      <c r="E498" s="319" t="s">
        <v>1998</v>
      </c>
      <c r="F498" s="627"/>
      <c r="G498" s="628"/>
      <c r="H498" s="628"/>
      <c r="I498" s="628"/>
      <c r="J498" s="176" t="s">
        <v>2014</v>
      </c>
      <c r="K498" s="266">
        <f>K494</f>
        <v>36.72</v>
      </c>
      <c r="L498" s="419"/>
      <c r="M498" s="419"/>
      <c r="R498" s="178"/>
      <c r="T498" s="142"/>
      <c r="V498" s="386"/>
    </row>
    <row r="499" spans="2:20" ht="11.25" customHeight="1" outlineLevel="1">
      <c r="B499" s="5"/>
      <c r="C499" s="267"/>
      <c r="D499" s="267" t="s">
        <v>67</v>
      </c>
      <c r="E499" s="320">
        <v>63152098</v>
      </c>
      <c r="F499" s="651" t="s">
        <v>2011</v>
      </c>
      <c r="G499" s="651"/>
      <c r="H499" s="651"/>
      <c r="I499" s="651"/>
      <c r="J499" s="179" t="s">
        <v>65</v>
      </c>
      <c r="K499" s="268">
        <f>K497*1.05</f>
        <v>38.556</v>
      </c>
      <c r="L499" s="652"/>
      <c r="M499" s="652"/>
      <c r="N499" s="653">
        <f>ROUND(L499*K499,2)</f>
        <v>0</v>
      </c>
      <c r="O499" s="619"/>
      <c r="P499" s="619"/>
      <c r="Q499" s="619"/>
      <c r="R499" s="6"/>
      <c r="T499" s="142"/>
    </row>
    <row r="500" spans="2:20" ht="11.25" customHeight="1" outlineLevel="1">
      <c r="B500" s="5"/>
      <c r="C500" s="267"/>
      <c r="D500" s="267" t="s">
        <v>67</v>
      </c>
      <c r="E500" s="320">
        <v>63152104</v>
      </c>
      <c r="F500" s="651" t="s">
        <v>1992</v>
      </c>
      <c r="G500" s="651"/>
      <c r="H500" s="651"/>
      <c r="I500" s="651"/>
      <c r="J500" s="179" t="s">
        <v>65</v>
      </c>
      <c r="K500" s="268">
        <f>K498*1.05</f>
        <v>38.556</v>
      </c>
      <c r="L500" s="652"/>
      <c r="M500" s="652"/>
      <c r="N500" s="653">
        <f>ROUND(L500*K500,2)</f>
        <v>0</v>
      </c>
      <c r="O500" s="619"/>
      <c r="P500" s="619"/>
      <c r="Q500" s="619"/>
      <c r="R500" s="6"/>
      <c r="T500" s="142"/>
    </row>
    <row r="501" spans="2:20" ht="27" customHeight="1" outlineLevel="1">
      <c r="B501" s="5"/>
      <c r="C501" s="261"/>
      <c r="D501" s="261" t="s">
        <v>64</v>
      </c>
      <c r="E501" s="262">
        <v>713191133</v>
      </c>
      <c r="F501" s="661" t="s">
        <v>1037</v>
      </c>
      <c r="G501" s="662"/>
      <c r="H501" s="662"/>
      <c r="I501" s="663"/>
      <c r="J501" s="174" t="s">
        <v>65</v>
      </c>
      <c r="K501" s="264">
        <f>K494</f>
        <v>36.72</v>
      </c>
      <c r="L501" s="664"/>
      <c r="M501" s="665"/>
      <c r="N501" s="658">
        <f>ROUND(L501*K501,2)</f>
        <v>0</v>
      </c>
      <c r="O501" s="659"/>
      <c r="P501" s="659"/>
      <c r="Q501" s="660"/>
      <c r="R501" s="6"/>
      <c r="T501" s="142"/>
    </row>
    <row r="502" spans="2:20" ht="26.25" customHeight="1" outlineLevel="1">
      <c r="B502" s="5"/>
      <c r="C502" s="267"/>
      <c r="D502" s="267" t="s">
        <v>67</v>
      </c>
      <c r="E502" s="320">
        <v>28329028</v>
      </c>
      <c r="F502" s="651" t="s">
        <v>1038</v>
      </c>
      <c r="G502" s="651"/>
      <c r="H502" s="651"/>
      <c r="I502" s="651"/>
      <c r="J502" s="179" t="s">
        <v>65</v>
      </c>
      <c r="K502" s="268">
        <f>K501*1.05</f>
        <v>38.556</v>
      </c>
      <c r="L502" s="652"/>
      <c r="M502" s="652"/>
      <c r="N502" s="653">
        <f>ROUND(L502*K502,2)</f>
        <v>0</v>
      </c>
      <c r="O502" s="619"/>
      <c r="P502" s="619"/>
      <c r="Q502" s="619"/>
      <c r="R502" s="6"/>
      <c r="T502" s="142"/>
    </row>
    <row r="503" spans="2:28" s="324" customFormat="1" ht="13.5" outlineLevel="1">
      <c r="B503" s="322"/>
      <c r="C503" s="327"/>
      <c r="D503" s="327" t="s">
        <v>1051</v>
      </c>
      <c r="E503" s="648" t="s">
        <v>1994</v>
      </c>
      <c r="F503" s="649"/>
      <c r="G503" s="649"/>
      <c r="H503" s="649"/>
      <c r="I503" s="650"/>
      <c r="J503" s="328"/>
      <c r="K503" s="329">
        <f>1.8*(23.6)</f>
        <v>42.480000000000004</v>
      </c>
      <c r="L503" s="654"/>
      <c r="M503" s="654"/>
      <c r="N503" s="655"/>
      <c r="O503" s="655"/>
      <c r="P503" s="655"/>
      <c r="Q503" s="655"/>
      <c r="R503" s="323"/>
      <c r="T503" s="325"/>
      <c r="U503" s="326"/>
      <c r="V503" s="387"/>
      <c r="W503" s="326"/>
      <c r="X503" s="326"/>
      <c r="Y503" s="326"/>
      <c r="Z503" s="326"/>
      <c r="AA503" s="326"/>
      <c r="AB503" s="326"/>
    </row>
    <row r="504" spans="2:29" s="410" customFormat="1" ht="13.5" outlineLevel="1">
      <c r="B504" s="409"/>
      <c r="E504" s="414" t="s">
        <v>2322</v>
      </c>
      <c r="F504" s="646" t="s">
        <v>2323</v>
      </c>
      <c r="G504" s="647">
        <f aca="true" t="shared" si="22" ref="G504:I504">1.8*(23.6)</f>
        <v>42.480000000000004</v>
      </c>
      <c r="H504" s="647">
        <f t="shared" si="22"/>
        <v>42.480000000000004</v>
      </c>
      <c r="I504" s="647">
        <f t="shared" si="22"/>
        <v>42.480000000000004</v>
      </c>
      <c r="J504" s="415"/>
      <c r="K504" s="416">
        <f>1.8*(23.6)</f>
        <v>42.480000000000004</v>
      </c>
      <c r="L504" s="420"/>
      <c r="M504" s="420"/>
      <c r="R504" s="411"/>
      <c r="T504" s="412"/>
      <c r="AC504" s="413"/>
    </row>
    <row r="505" spans="2:20" ht="27" customHeight="1" outlineLevel="1">
      <c r="B505" s="5"/>
      <c r="C505" s="261"/>
      <c r="D505" s="261" t="s">
        <v>64</v>
      </c>
      <c r="E505" s="262">
        <v>713141151</v>
      </c>
      <c r="F505" s="661" t="s">
        <v>430</v>
      </c>
      <c r="G505" s="662"/>
      <c r="H505" s="662"/>
      <c r="I505" s="663"/>
      <c r="J505" s="174" t="s">
        <v>65</v>
      </c>
      <c r="K505" s="264">
        <f>SUM(K506:K507)</f>
        <v>127.44000000000001</v>
      </c>
      <c r="L505" s="664"/>
      <c r="M505" s="665"/>
      <c r="N505" s="658">
        <f>ROUND(L505*K505,2)</f>
        <v>0</v>
      </c>
      <c r="O505" s="659"/>
      <c r="P505" s="659"/>
      <c r="Q505" s="660"/>
      <c r="R505" s="6"/>
      <c r="T505" s="142"/>
    </row>
    <row r="506" spans="2:22" s="177" customFormat="1" ht="11.25" customHeight="1" outlineLevel="1">
      <c r="B506" s="175"/>
      <c r="E506" s="319" t="s">
        <v>1997</v>
      </c>
      <c r="F506" s="627"/>
      <c r="G506" s="628"/>
      <c r="H506" s="628"/>
      <c r="I506" s="628"/>
      <c r="J506" s="176" t="s">
        <v>2013</v>
      </c>
      <c r="K506" s="266">
        <f>K503</f>
        <v>42.480000000000004</v>
      </c>
      <c r="L506" s="419"/>
      <c r="M506" s="419"/>
      <c r="R506" s="178"/>
      <c r="T506" s="142"/>
      <c r="V506" s="386"/>
    </row>
    <row r="507" spans="2:22" s="177" customFormat="1" ht="11.25" customHeight="1" outlineLevel="1">
      <c r="B507" s="175"/>
      <c r="E507" s="319" t="s">
        <v>1998</v>
      </c>
      <c r="F507" s="627" t="s">
        <v>745</v>
      </c>
      <c r="G507" s="628"/>
      <c r="H507" s="628"/>
      <c r="I507" s="628"/>
      <c r="J507" s="176" t="s">
        <v>2014</v>
      </c>
      <c r="K507" s="266">
        <f>K503*2</f>
        <v>84.96000000000001</v>
      </c>
      <c r="L507" s="419"/>
      <c r="M507" s="419"/>
      <c r="R507" s="178"/>
      <c r="T507" s="142"/>
      <c r="V507" s="386"/>
    </row>
    <row r="508" spans="2:20" ht="13.5" outlineLevel="1">
      <c r="B508" s="5"/>
      <c r="C508" s="267"/>
      <c r="D508" s="267" t="s">
        <v>67</v>
      </c>
      <c r="E508" s="320">
        <v>63152096</v>
      </c>
      <c r="F508" s="651" t="s">
        <v>2015</v>
      </c>
      <c r="G508" s="651"/>
      <c r="H508" s="651"/>
      <c r="I508" s="651"/>
      <c r="J508" s="179" t="s">
        <v>65</v>
      </c>
      <c r="K508" s="268">
        <f>K506*1.05</f>
        <v>44.604000000000006</v>
      </c>
      <c r="L508" s="652"/>
      <c r="M508" s="652"/>
      <c r="N508" s="653">
        <f>ROUND(L508*K508,2)</f>
        <v>0</v>
      </c>
      <c r="O508" s="619"/>
      <c r="P508" s="619"/>
      <c r="Q508" s="619"/>
      <c r="R508" s="6"/>
      <c r="T508" s="142"/>
    </row>
    <row r="509" spans="2:20" ht="13.5" outlineLevel="1">
      <c r="B509" s="5"/>
      <c r="C509" s="267"/>
      <c r="D509" s="267" t="s">
        <v>67</v>
      </c>
      <c r="E509" s="320">
        <v>63152104</v>
      </c>
      <c r="F509" s="651" t="s">
        <v>1992</v>
      </c>
      <c r="G509" s="651"/>
      <c r="H509" s="651"/>
      <c r="I509" s="651"/>
      <c r="J509" s="179" t="s">
        <v>65</v>
      </c>
      <c r="K509" s="268">
        <f>K507*1.05</f>
        <v>89.20800000000001</v>
      </c>
      <c r="L509" s="652"/>
      <c r="M509" s="652"/>
      <c r="N509" s="653">
        <f>ROUND(L509*K509,2)</f>
        <v>0</v>
      </c>
      <c r="O509" s="619"/>
      <c r="P509" s="619"/>
      <c r="Q509" s="619"/>
      <c r="R509" s="6"/>
      <c r="T509" s="142"/>
    </row>
    <row r="510" spans="2:20" ht="27" customHeight="1" outlineLevel="1">
      <c r="B510" s="5"/>
      <c r="C510" s="261"/>
      <c r="D510" s="261" t="s">
        <v>64</v>
      </c>
      <c r="E510" s="262">
        <v>713191133</v>
      </c>
      <c r="F510" s="661" t="s">
        <v>1037</v>
      </c>
      <c r="G510" s="662"/>
      <c r="H510" s="662"/>
      <c r="I510" s="663"/>
      <c r="J510" s="174" t="s">
        <v>65</v>
      </c>
      <c r="K510" s="264">
        <f>K503</f>
        <v>42.480000000000004</v>
      </c>
      <c r="L510" s="664"/>
      <c r="M510" s="665"/>
      <c r="N510" s="658">
        <f>ROUND(L510*K510,2)</f>
        <v>0</v>
      </c>
      <c r="O510" s="659"/>
      <c r="P510" s="659"/>
      <c r="Q510" s="660"/>
      <c r="R510" s="6"/>
      <c r="T510" s="142"/>
    </row>
    <row r="511" spans="2:20" ht="26.25" customHeight="1" outlineLevel="1">
      <c r="B511" s="5"/>
      <c r="C511" s="267"/>
      <c r="D511" s="267" t="s">
        <v>67</v>
      </c>
      <c r="E511" s="320">
        <v>28329028</v>
      </c>
      <c r="F511" s="651" t="s">
        <v>1038</v>
      </c>
      <c r="G511" s="651"/>
      <c r="H511" s="651"/>
      <c r="I511" s="651"/>
      <c r="J511" s="179" t="s">
        <v>65</v>
      </c>
      <c r="K511" s="268">
        <f>K510</f>
        <v>42.480000000000004</v>
      </c>
      <c r="L511" s="652"/>
      <c r="M511" s="652"/>
      <c r="N511" s="653">
        <f>ROUND(L511*K511,2)</f>
        <v>0</v>
      </c>
      <c r="O511" s="619"/>
      <c r="P511" s="619"/>
      <c r="Q511" s="619"/>
      <c r="R511" s="6"/>
      <c r="T511" s="142"/>
    </row>
    <row r="512" spans="2:28" s="324" customFormat="1" ht="13.5" outlineLevel="1">
      <c r="B512" s="322"/>
      <c r="C512" s="327"/>
      <c r="D512" s="327"/>
      <c r="E512" s="648" t="s">
        <v>2020</v>
      </c>
      <c r="F512" s="649"/>
      <c r="G512" s="649"/>
      <c r="H512" s="649"/>
      <c r="I512" s="650"/>
      <c r="J512" s="328"/>
      <c r="K512" s="329"/>
      <c r="L512" s="654"/>
      <c r="M512" s="654"/>
      <c r="N512" s="655"/>
      <c r="O512" s="655"/>
      <c r="P512" s="655"/>
      <c r="Q512" s="655"/>
      <c r="R512" s="323"/>
      <c r="T512" s="325"/>
      <c r="U512" s="326"/>
      <c r="V512" s="387"/>
      <c r="W512" s="326"/>
      <c r="X512" s="326"/>
      <c r="Y512" s="326"/>
      <c r="Z512" s="326"/>
      <c r="AA512" s="326"/>
      <c r="AB512" s="326"/>
    </row>
    <row r="513" spans="2:20" ht="27" customHeight="1" outlineLevel="1">
      <c r="B513" s="5"/>
      <c r="C513" s="261"/>
      <c r="D513" s="261" t="s">
        <v>64</v>
      </c>
      <c r="E513" s="262">
        <v>713141151</v>
      </c>
      <c r="F513" s="625" t="s">
        <v>430</v>
      </c>
      <c r="G513" s="625"/>
      <c r="H513" s="625"/>
      <c r="I513" s="625"/>
      <c r="J513" s="174" t="s">
        <v>65</v>
      </c>
      <c r="K513" s="264">
        <f>SUM(K514:K516)</f>
        <v>18.2807</v>
      </c>
      <c r="L513" s="626"/>
      <c r="M513" s="626"/>
      <c r="N513" s="619">
        <f>ROUND(L513*K513,2)</f>
        <v>0</v>
      </c>
      <c r="O513" s="619"/>
      <c r="P513" s="619"/>
      <c r="Q513" s="619"/>
      <c r="R513" s="6"/>
      <c r="T513" s="142"/>
    </row>
    <row r="514" spans="2:22" s="177" customFormat="1" ht="13.5" outlineLevel="1">
      <c r="B514" s="175"/>
      <c r="E514" s="319" t="s">
        <v>1100</v>
      </c>
      <c r="F514" s="627" t="s">
        <v>1101</v>
      </c>
      <c r="G514" s="628">
        <f aca="true" t="shared" si="23" ref="G514:I515">2.75*1.25+2.22*2.56</f>
        <v>9.1207</v>
      </c>
      <c r="H514" s="628">
        <f t="shared" si="23"/>
        <v>9.1207</v>
      </c>
      <c r="I514" s="628">
        <f t="shared" si="23"/>
        <v>9.1207</v>
      </c>
      <c r="J514" s="176"/>
      <c r="K514" s="266">
        <f>2.75*1.25</f>
        <v>3.4375</v>
      </c>
      <c r="L514" s="419"/>
      <c r="M514" s="419"/>
      <c r="R514" s="178"/>
      <c r="T514" s="142"/>
      <c r="V514" s="386"/>
    </row>
    <row r="515" spans="2:22" s="177" customFormat="1" ht="13.5" outlineLevel="1">
      <c r="B515" s="175"/>
      <c r="E515" s="319" t="s">
        <v>2021</v>
      </c>
      <c r="F515" s="627" t="s">
        <v>2022</v>
      </c>
      <c r="G515" s="628">
        <f t="shared" si="23"/>
        <v>9.1207</v>
      </c>
      <c r="H515" s="628">
        <f t="shared" si="23"/>
        <v>9.1207</v>
      </c>
      <c r="I515" s="628">
        <f t="shared" si="23"/>
        <v>9.1207</v>
      </c>
      <c r="J515" s="176"/>
      <c r="K515" s="266">
        <f>2.75*2.4</f>
        <v>6.6</v>
      </c>
      <c r="L515" s="419"/>
      <c r="M515" s="419"/>
      <c r="R515" s="178"/>
      <c r="T515" s="142"/>
      <c r="V515" s="386"/>
    </row>
    <row r="516" spans="2:22" s="177" customFormat="1" ht="11.25" customHeight="1" outlineLevel="1">
      <c r="B516" s="175"/>
      <c r="E516" s="319" t="s">
        <v>1099</v>
      </c>
      <c r="F516" s="627" t="s">
        <v>1102</v>
      </c>
      <c r="G516" s="628">
        <f>2.75*1.25+2.22*2.56+(2.56)*2*0.5</f>
        <v>11.6807</v>
      </c>
      <c r="H516" s="628">
        <f>2.75*1.25+2.22*2.56+(2.56)*2*0.5</f>
        <v>11.6807</v>
      </c>
      <c r="I516" s="628">
        <f>2.75*1.25+2.22*2.56+(2.56)*2*0.5</f>
        <v>11.6807</v>
      </c>
      <c r="J516" s="176"/>
      <c r="K516" s="266">
        <f>2.22*2.56+(2.56)*2*0.5</f>
        <v>8.2432</v>
      </c>
      <c r="L516" s="419"/>
      <c r="M516" s="419"/>
      <c r="R516" s="178"/>
      <c r="T516" s="142"/>
      <c r="V516" s="386"/>
    </row>
    <row r="517" spans="2:20" ht="26.25" customHeight="1" outlineLevel="1">
      <c r="B517" s="5"/>
      <c r="C517" s="267"/>
      <c r="D517" s="267" t="s">
        <v>67</v>
      </c>
      <c r="E517" s="320">
        <v>28376518</v>
      </c>
      <c r="F517" s="651" t="s">
        <v>2017</v>
      </c>
      <c r="G517" s="651"/>
      <c r="H517" s="651"/>
      <c r="I517" s="651"/>
      <c r="J517" s="179" t="s">
        <v>65</v>
      </c>
      <c r="K517" s="268">
        <f>(K514)*1.05</f>
        <v>3.609375</v>
      </c>
      <c r="L517" s="652"/>
      <c r="M517" s="652"/>
      <c r="N517" s="653">
        <f>ROUND(L517*K517,2)</f>
        <v>0</v>
      </c>
      <c r="O517" s="619"/>
      <c r="P517" s="619"/>
      <c r="Q517" s="619"/>
      <c r="R517" s="6"/>
      <c r="T517" s="142"/>
    </row>
    <row r="518" spans="2:20" ht="11.25" customHeight="1" outlineLevel="1">
      <c r="B518" s="5"/>
      <c r="C518" s="267"/>
      <c r="D518" s="267" t="s">
        <v>67</v>
      </c>
      <c r="E518" s="320" t="s">
        <v>1118</v>
      </c>
      <c r="F518" s="651" t="s">
        <v>1119</v>
      </c>
      <c r="G518" s="651"/>
      <c r="H518" s="651"/>
      <c r="I518" s="651"/>
      <c r="J518" s="179" t="s">
        <v>65</v>
      </c>
      <c r="K518" s="268">
        <f>(K516)*1.05</f>
        <v>8.65536</v>
      </c>
      <c r="L518" s="652"/>
      <c r="M518" s="652"/>
      <c r="N518" s="653">
        <f>ROUND(L518*K518,2)</f>
        <v>0</v>
      </c>
      <c r="O518" s="619"/>
      <c r="P518" s="619"/>
      <c r="Q518" s="619"/>
      <c r="R518" s="6"/>
      <c r="T518" s="142"/>
    </row>
    <row r="519" spans="2:20" ht="13.5" outlineLevel="1">
      <c r="B519" s="5"/>
      <c r="C519" s="267"/>
      <c r="D519" s="267" t="s">
        <v>67</v>
      </c>
      <c r="E519" s="320">
        <v>63152100</v>
      </c>
      <c r="F519" s="651" t="s">
        <v>426</v>
      </c>
      <c r="G519" s="651"/>
      <c r="H519" s="651"/>
      <c r="I519" s="651"/>
      <c r="J519" s="179" t="s">
        <v>65</v>
      </c>
      <c r="K519" s="268">
        <f>K515*1.05</f>
        <v>6.93</v>
      </c>
      <c r="L519" s="652"/>
      <c r="M519" s="652"/>
      <c r="N519" s="653">
        <f>ROUND(L519*K519,2)</f>
        <v>0</v>
      </c>
      <c r="O519" s="619"/>
      <c r="P519" s="619"/>
      <c r="Q519" s="619"/>
      <c r="R519" s="6"/>
      <c r="T519" s="142"/>
    </row>
    <row r="520" spans="2:20" ht="13.5" outlineLevel="1">
      <c r="B520" s="5"/>
      <c r="C520" s="267"/>
      <c r="D520" s="267" t="s">
        <v>67</v>
      </c>
      <c r="E520" s="320">
        <v>63152106</v>
      </c>
      <c r="F520" s="651" t="s">
        <v>2010</v>
      </c>
      <c r="G520" s="651"/>
      <c r="H520" s="651"/>
      <c r="I520" s="651"/>
      <c r="J520" s="179" t="s">
        <v>65</v>
      </c>
      <c r="K520" s="268">
        <f>K519</f>
        <v>6.93</v>
      </c>
      <c r="L520" s="652"/>
      <c r="M520" s="652"/>
      <c r="N520" s="653">
        <f>ROUND(L520*K520,2)</f>
        <v>0</v>
      </c>
      <c r="O520" s="619"/>
      <c r="P520" s="619"/>
      <c r="Q520" s="619"/>
      <c r="R520" s="6"/>
      <c r="T520" s="142"/>
    </row>
    <row r="521" spans="2:20" ht="13.5" outlineLevel="1">
      <c r="B521" s="5"/>
      <c r="C521" s="261"/>
      <c r="D521" s="261" t="s">
        <v>64</v>
      </c>
      <c r="E521" s="262">
        <v>713141311</v>
      </c>
      <c r="F521" s="625" t="s">
        <v>431</v>
      </c>
      <c r="G521" s="625"/>
      <c r="H521" s="625"/>
      <c r="I521" s="625"/>
      <c r="J521" s="174" t="s">
        <v>65</v>
      </c>
      <c r="K521" s="264">
        <f>SUM(K522:K523)</f>
        <v>11.6807</v>
      </c>
      <c r="L521" s="626"/>
      <c r="M521" s="626"/>
      <c r="N521" s="619">
        <f>ROUND(L521*K521,2)</f>
        <v>0</v>
      </c>
      <c r="O521" s="619"/>
      <c r="P521" s="619"/>
      <c r="Q521" s="619"/>
      <c r="R521" s="6"/>
      <c r="T521" s="142"/>
    </row>
    <row r="522" spans="2:22" s="177" customFormat="1" ht="13.5" outlineLevel="1">
      <c r="B522" s="175"/>
      <c r="E522" s="319" t="s">
        <v>1100</v>
      </c>
      <c r="F522" s="627" t="s">
        <v>1101</v>
      </c>
      <c r="G522" s="628">
        <f>2.75*1.25+2.22*2.56</f>
        <v>9.1207</v>
      </c>
      <c r="H522" s="628">
        <f>2.75*1.25+2.22*2.56</f>
        <v>9.1207</v>
      </c>
      <c r="I522" s="628">
        <f>2.75*1.25+2.22*2.56</f>
        <v>9.1207</v>
      </c>
      <c r="J522" s="176"/>
      <c r="K522" s="266">
        <f>2.75*1.25</f>
        <v>3.4375</v>
      </c>
      <c r="L522" s="419"/>
      <c r="M522" s="419"/>
      <c r="R522" s="178"/>
      <c r="T522" s="142"/>
      <c r="V522" s="386"/>
    </row>
    <row r="523" spans="2:22" s="177" customFormat="1" ht="11.25" customHeight="1" outlineLevel="1">
      <c r="B523" s="175"/>
      <c r="E523" s="319" t="s">
        <v>1099</v>
      </c>
      <c r="F523" s="627" t="s">
        <v>1102</v>
      </c>
      <c r="G523" s="628">
        <f>2.75*1.25+2.22*2.56+(2.56)*2*0.5</f>
        <v>11.6807</v>
      </c>
      <c r="H523" s="628">
        <f>2.75*1.25+2.22*2.56+(2.56)*2*0.5</f>
        <v>11.6807</v>
      </c>
      <c r="I523" s="628">
        <f>2.75*1.25+2.22*2.56+(2.56)*2*0.5</f>
        <v>11.6807</v>
      </c>
      <c r="J523" s="176"/>
      <c r="K523" s="266">
        <f>2.22*2.56+(2.56)*2*0.5</f>
        <v>8.2432</v>
      </c>
      <c r="L523" s="419"/>
      <c r="M523" s="419"/>
      <c r="R523" s="178"/>
      <c r="T523" s="142"/>
      <c r="V523" s="386"/>
    </row>
    <row r="524" spans="2:20" ht="13.5" outlineLevel="1">
      <c r="B524" s="5"/>
      <c r="C524" s="267"/>
      <c r="D524" s="267" t="s">
        <v>67</v>
      </c>
      <c r="E524" s="320" t="s">
        <v>432</v>
      </c>
      <c r="F524" s="651" t="s">
        <v>433</v>
      </c>
      <c r="G524" s="651"/>
      <c r="H524" s="651"/>
      <c r="I524" s="651"/>
      <c r="J524" s="179" t="s">
        <v>66</v>
      </c>
      <c r="K524" s="268">
        <f>SUM(K525:K526)</f>
        <v>0.40882450000000004</v>
      </c>
      <c r="L524" s="652"/>
      <c r="M524" s="652"/>
      <c r="N524" s="653">
        <f>ROUND(L524*K524,2)</f>
        <v>0</v>
      </c>
      <c r="O524" s="619"/>
      <c r="P524" s="619"/>
      <c r="Q524" s="619"/>
      <c r="R524" s="6"/>
      <c r="T524" s="142"/>
    </row>
    <row r="525" spans="2:22" s="177" customFormat="1" ht="13.5" outlineLevel="1">
      <c r="B525" s="175"/>
      <c r="E525" s="319" t="s">
        <v>1100</v>
      </c>
      <c r="F525" s="627" t="s">
        <v>469</v>
      </c>
      <c r="G525" s="628">
        <f aca="true" t="shared" si="24" ref="G525:I526">2.75*1.25+2.22*2.56</f>
        <v>9.1207</v>
      </c>
      <c r="H525" s="628">
        <f t="shared" si="24"/>
        <v>9.1207</v>
      </c>
      <c r="I525" s="628">
        <f t="shared" si="24"/>
        <v>9.1207</v>
      </c>
      <c r="J525" s="176">
        <f>(0.02+0.05)/2</f>
        <v>0.035</v>
      </c>
      <c r="K525" s="266">
        <f>K522*J525</f>
        <v>0.12031250000000002</v>
      </c>
      <c r="L525" s="419"/>
      <c r="M525" s="419"/>
      <c r="R525" s="178"/>
      <c r="T525" s="142"/>
      <c r="V525" s="386"/>
    </row>
    <row r="526" spans="2:22" s="177" customFormat="1" ht="11.25" customHeight="1" outlineLevel="1">
      <c r="B526" s="175"/>
      <c r="E526" s="319" t="s">
        <v>1099</v>
      </c>
      <c r="F526" s="627" t="s">
        <v>469</v>
      </c>
      <c r="G526" s="628">
        <f t="shared" si="24"/>
        <v>9.1207</v>
      </c>
      <c r="H526" s="628">
        <f t="shared" si="24"/>
        <v>9.1207</v>
      </c>
      <c r="I526" s="628">
        <f t="shared" si="24"/>
        <v>9.1207</v>
      </c>
      <c r="J526" s="176">
        <f>(0.02+0.05)/2</f>
        <v>0.035</v>
      </c>
      <c r="K526" s="266">
        <f>K523*J526</f>
        <v>0.28851200000000005</v>
      </c>
      <c r="L526" s="419"/>
      <c r="M526" s="419"/>
      <c r="R526" s="178"/>
      <c r="T526" s="142"/>
      <c r="V526" s="386"/>
    </row>
    <row r="527" spans="2:20" ht="27" customHeight="1" outlineLevel="1">
      <c r="B527" s="5"/>
      <c r="C527" s="261"/>
      <c r="D527" s="261" t="s">
        <v>64</v>
      </c>
      <c r="E527" s="262">
        <v>713191133</v>
      </c>
      <c r="F527" s="661" t="s">
        <v>1037</v>
      </c>
      <c r="G527" s="662"/>
      <c r="H527" s="662"/>
      <c r="I527" s="663"/>
      <c r="J527" s="174" t="s">
        <v>65</v>
      </c>
      <c r="K527" s="264">
        <f>K515</f>
        <v>6.6</v>
      </c>
      <c r="L527" s="664"/>
      <c r="M527" s="665"/>
      <c r="N527" s="658">
        <f>ROUND(L527*K527,2)</f>
        <v>0</v>
      </c>
      <c r="O527" s="659"/>
      <c r="P527" s="659"/>
      <c r="Q527" s="660"/>
      <c r="R527" s="6"/>
      <c r="T527" s="142"/>
    </row>
    <row r="528" spans="2:20" ht="26.25" customHeight="1" outlineLevel="1">
      <c r="B528" s="5"/>
      <c r="C528" s="267"/>
      <c r="D528" s="267" t="s">
        <v>67</v>
      </c>
      <c r="E528" s="320">
        <v>28329028</v>
      </c>
      <c r="F528" s="651" t="s">
        <v>1038</v>
      </c>
      <c r="G528" s="651"/>
      <c r="H528" s="651"/>
      <c r="I528" s="651"/>
      <c r="J528" s="179" t="s">
        <v>65</v>
      </c>
      <c r="K528" s="268">
        <f>K527*1.05</f>
        <v>6.93</v>
      </c>
      <c r="L528" s="652"/>
      <c r="M528" s="652"/>
      <c r="N528" s="653">
        <f>ROUND(L528*K528,2)</f>
        <v>0</v>
      </c>
      <c r="O528" s="619"/>
      <c r="P528" s="619"/>
      <c r="Q528" s="619"/>
      <c r="R528" s="6"/>
      <c r="T528" s="142"/>
    </row>
    <row r="529" spans="2:28" s="324" customFormat="1" ht="13.5" outlineLevel="1">
      <c r="B529" s="322"/>
      <c r="C529" s="327"/>
      <c r="D529" s="327"/>
      <c r="E529" s="648" t="s">
        <v>2023</v>
      </c>
      <c r="F529" s="649"/>
      <c r="G529" s="649"/>
      <c r="H529" s="649"/>
      <c r="I529" s="650"/>
      <c r="J529" s="328"/>
      <c r="K529" s="329"/>
      <c r="L529" s="654"/>
      <c r="M529" s="654"/>
      <c r="N529" s="655"/>
      <c r="O529" s="655"/>
      <c r="P529" s="655"/>
      <c r="Q529" s="655"/>
      <c r="R529" s="323"/>
      <c r="T529" s="325"/>
      <c r="U529" s="326"/>
      <c r="V529" s="387"/>
      <c r="W529" s="326"/>
      <c r="X529" s="326"/>
      <c r="Y529" s="326"/>
      <c r="Z529" s="326"/>
      <c r="AA529" s="326"/>
      <c r="AB529" s="326"/>
    </row>
    <row r="530" spans="2:20" ht="13.5" outlineLevel="1">
      <c r="B530" s="5"/>
      <c r="C530" s="261"/>
      <c r="D530" s="261" t="s">
        <v>64</v>
      </c>
      <c r="E530" s="262" t="s">
        <v>73</v>
      </c>
      <c r="F530" s="625" t="s">
        <v>74</v>
      </c>
      <c r="G530" s="625"/>
      <c r="H530" s="625"/>
      <c r="I530" s="625"/>
      <c r="J530" s="174" t="s">
        <v>65</v>
      </c>
      <c r="K530" s="264">
        <f>SUM(K531:K541)</f>
        <v>506.93000000000006</v>
      </c>
      <c r="L530" s="626"/>
      <c r="M530" s="626"/>
      <c r="N530" s="619">
        <f>ROUND(L530*K530,2)</f>
        <v>0</v>
      </c>
      <c r="O530" s="619"/>
      <c r="P530" s="619"/>
      <c r="Q530" s="619"/>
      <c r="R530" s="6"/>
      <c r="T530" s="142"/>
    </row>
    <row r="531" spans="2:22" s="177" customFormat="1" ht="13.5" outlineLevel="1">
      <c r="B531" s="175"/>
      <c r="E531" s="319" t="s">
        <v>1078</v>
      </c>
      <c r="F531" s="627" t="s">
        <v>113</v>
      </c>
      <c r="G531" s="628"/>
      <c r="H531" s="628"/>
      <c r="I531" s="628"/>
      <c r="J531" s="176" t="s">
        <v>421</v>
      </c>
      <c r="K531" s="266">
        <f>(20+17.25+40.52+27.72+22.76+30.61)</f>
        <v>158.86</v>
      </c>
      <c r="L531" s="419"/>
      <c r="M531" s="419"/>
      <c r="R531" s="178"/>
      <c r="T531" s="142"/>
      <c r="V531" s="386"/>
    </row>
    <row r="532" spans="2:22" s="177" customFormat="1" ht="11.25" customHeight="1" outlineLevel="1">
      <c r="B532" s="175"/>
      <c r="E532" s="319" t="s">
        <v>1077</v>
      </c>
      <c r="F532" s="627" t="s">
        <v>113</v>
      </c>
      <c r="G532" s="628"/>
      <c r="H532" s="628"/>
      <c r="I532" s="628"/>
      <c r="J532" s="176" t="s">
        <v>421</v>
      </c>
      <c r="K532" s="266">
        <f>(4.51+2.89+2.55+1.58+1.17*2+3.28+3.02+4.24+28.19+23.93+1.47+1.54)</f>
        <v>79.54</v>
      </c>
      <c r="L532" s="419"/>
      <c r="M532" s="419"/>
      <c r="R532" s="178"/>
      <c r="T532" s="142"/>
      <c r="V532" s="386"/>
    </row>
    <row r="533" spans="2:22" s="177" customFormat="1" ht="11.25" customHeight="1" outlineLevel="1">
      <c r="B533" s="175"/>
      <c r="E533" s="319" t="s">
        <v>1081</v>
      </c>
      <c r="F533" s="627" t="s">
        <v>113</v>
      </c>
      <c r="G533" s="628"/>
      <c r="H533" s="628"/>
      <c r="I533" s="628"/>
      <c r="J533" s="176" t="s">
        <v>1106</v>
      </c>
      <c r="K533" s="266">
        <f>2*1.33</f>
        <v>2.66</v>
      </c>
      <c r="L533" s="419"/>
      <c r="M533" s="419"/>
      <c r="R533" s="178"/>
      <c r="T533" s="142"/>
      <c r="V533" s="386"/>
    </row>
    <row r="534" spans="2:22" s="177" customFormat="1" ht="11.25" customHeight="1" outlineLevel="1">
      <c r="B534" s="175"/>
      <c r="E534" s="319" t="s">
        <v>1082</v>
      </c>
      <c r="F534" s="627" t="s">
        <v>113</v>
      </c>
      <c r="G534" s="628"/>
      <c r="H534" s="628"/>
      <c r="I534" s="628"/>
      <c r="J534" s="176" t="s">
        <v>1106</v>
      </c>
      <c r="K534" s="266">
        <f>(4.39+1.6+1.63+1.58+2.1+5.77+2.26+1.87)</f>
        <v>21.2</v>
      </c>
      <c r="L534" s="419"/>
      <c r="M534" s="419"/>
      <c r="R534" s="178"/>
      <c r="T534" s="142"/>
      <c r="V534" s="386"/>
    </row>
    <row r="535" spans="2:22" s="177" customFormat="1" ht="11.25" customHeight="1" outlineLevel="1">
      <c r="B535" s="175"/>
      <c r="E535" s="319" t="s">
        <v>1083</v>
      </c>
      <c r="F535" s="627" t="s">
        <v>113</v>
      </c>
      <c r="G535" s="628"/>
      <c r="H535" s="628"/>
      <c r="I535" s="628"/>
      <c r="J535" s="176" t="s">
        <v>1106</v>
      </c>
      <c r="K535" s="266">
        <f>9.9</f>
        <v>9.9</v>
      </c>
      <c r="L535" s="419"/>
      <c r="M535" s="419"/>
      <c r="R535" s="178"/>
      <c r="T535" s="142"/>
      <c r="V535" s="386"/>
    </row>
    <row r="536" spans="2:22" s="177" customFormat="1" ht="11.25" customHeight="1" outlineLevel="1">
      <c r="B536" s="175"/>
      <c r="E536" s="319" t="s">
        <v>1107</v>
      </c>
      <c r="F536" s="627" t="s">
        <v>113</v>
      </c>
      <c r="G536" s="628"/>
      <c r="H536" s="628"/>
      <c r="I536" s="628"/>
      <c r="J536" s="176" t="s">
        <v>424</v>
      </c>
      <c r="K536" s="266">
        <f>143.12+3.3</f>
        <v>146.42000000000002</v>
      </c>
      <c r="L536" s="419"/>
      <c r="M536" s="419"/>
      <c r="R536" s="178"/>
      <c r="T536" s="142"/>
      <c r="V536" s="386"/>
    </row>
    <row r="537" spans="2:22" s="177" customFormat="1" ht="11.25" customHeight="1" outlineLevel="1">
      <c r="B537" s="175"/>
      <c r="E537" s="319" t="s">
        <v>1109</v>
      </c>
      <c r="F537" s="627" t="s">
        <v>113</v>
      </c>
      <c r="G537" s="628"/>
      <c r="H537" s="628"/>
      <c r="I537" s="628"/>
      <c r="J537" s="176" t="s">
        <v>1110</v>
      </c>
      <c r="K537" s="266">
        <f>16.84+14.96+9.65</f>
        <v>41.45</v>
      </c>
      <c r="L537" s="419"/>
      <c r="M537" s="419"/>
      <c r="R537" s="178"/>
      <c r="T537" s="142"/>
      <c r="V537" s="386"/>
    </row>
    <row r="538" spans="2:22" s="177" customFormat="1" ht="11.25" customHeight="1" outlineLevel="1">
      <c r="B538" s="175"/>
      <c r="E538" s="319" t="s">
        <v>923</v>
      </c>
      <c r="F538" s="627" t="s">
        <v>113</v>
      </c>
      <c r="G538" s="628"/>
      <c r="H538" s="628"/>
      <c r="I538" s="628"/>
      <c r="J538" s="176" t="s">
        <v>421</v>
      </c>
      <c r="K538" s="266">
        <f>14.25</f>
        <v>14.25</v>
      </c>
      <c r="L538" s="419"/>
      <c r="M538" s="419"/>
      <c r="R538" s="178"/>
      <c r="T538" s="142"/>
      <c r="V538" s="386"/>
    </row>
    <row r="539" spans="2:22" s="177" customFormat="1" ht="11.25" customHeight="1" outlineLevel="1">
      <c r="B539" s="175"/>
      <c r="E539" s="319" t="s">
        <v>924</v>
      </c>
      <c r="F539" s="627" t="s">
        <v>113</v>
      </c>
      <c r="G539" s="628"/>
      <c r="H539" s="628"/>
      <c r="I539" s="628"/>
      <c r="J539" s="176" t="s">
        <v>1105</v>
      </c>
      <c r="K539" s="266">
        <f>6.91</f>
        <v>6.91</v>
      </c>
      <c r="L539" s="419"/>
      <c r="M539" s="419"/>
      <c r="R539" s="178"/>
      <c r="T539" s="142"/>
      <c r="V539" s="386"/>
    </row>
    <row r="540" spans="2:22" s="177" customFormat="1" ht="13.5" outlineLevel="1">
      <c r="B540" s="175"/>
      <c r="E540" s="319" t="s">
        <v>1084</v>
      </c>
      <c r="F540" s="627" t="s">
        <v>113</v>
      </c>
      <c r="G540" s="628"/>
      <c r="H540" s="628"/>
      <c r="I540" s="628"/>
      <c r="J540" s="176" t="s">
        <v>1111</v>
      </c>
      <c r="K540" s="266">
        <f>12.87</f>
        <v>12.87</v>
      </c>
      <c r="L540" s="419"/>
      <c r="M540" s="419"/>
      <c r="R540" s="178"/>
      <c r="T540" s="142"/>
      <c r="V540" s="386"/>
    </row>
    <row r="541" spans="2:22" s="177" customFormat="1" ht="13.5" outlineLevel="1">
      <c r="B541" s="175"/>
      <c r="E541" s="319" t="s">
        <v>1116</v>
      </c>
      <c r="F541" s="627" t="s">
        <v>113</v>
      </c>
      <c r="G541" s="628"/>
      <c r="H541" s="628"/>
      <c r="I541" s="628"/>
      <c r="J541" s="176" t="s">
        <v>2043</v>
      </c>
      <c r="K541" s="266">
        <f>12.87</f>
        <v>12.87</v>
      </c>
      <c r="L541" s="419"/>
      <c r="M541" s="419"/>
      <c r="R541" s="178"/>
      <c r="T541" s="142"/>
      <c r="V541" s="386"/>
    </row>
    <row r="542" spans="2:20" ht="13.5" outlineLevel="1">
      <c r="B542" s="5"/>
      <c r="C542" s="267"/>
      <c r="D542" s="267" t="s">
        <v>67</v>
      </c>
      <c r="E542" s="320">
        <v>28375924</v>
      </c>
      <c r="F542" s="651" t="s">
        <v>1112</v>
      </c>
      <c r="G542" s="651"/>
      <c r="H542" s="651"/>
      <c r="I542" s="651"/>
      <c r="J542" s="179" t="s">
        <v>65</v>
      </c>
      <c r="K542" s="268">
        <f>(K533+K534+K535)*1.05</f>
        <v>35.448</v>
      </c>
      <c r="L542" s="652"/>
      <c r="M542" s="652"/>
      <c r="N542" s="653">
        <f aca="true" t="shared" si="25" ref="N542:N547">ROUND(L542*K542,2)</f>
        <v>0</v>
      </c>
      <c r="O542" s="619"/>
      <c r="P542" s="619"/>
      <c r="Q542" s="619"/>
      <c r="R542" s="6"/>
      <c r="T542" s="142"/>
    </row>
    <row r="543" spans="2:20" ht="11.25" customHeight="1" outlineLevel="1">
      <c r="B543" s="5"/>
      <c r="C543" s="267"/>
      <c r="D543" s="267" t="s">
        <v>67</v>
      </c>
      <c r="E543" s="320" t="s">
        <v>422</v>
      </c>
      <c r="F543" s="651" t="s">
        <v>423</v>
      </c>
      <c r="G543" s="651"/>
      <c r="H543" s="651"/>
      <c r="I543" s="651"/>
      <c r="J543" s="179" t="s">
        <v>65</v>
      </c>
      <c r="K543" s="268">
        <f>(K531+K532+K538)*1.05</f>
        <v>265.2825</v>
      </c>
      <c r="L543" s="652"/>
      <c r="M543" s="652"/>
      <c r="N543" s="653">
        <f t="shared" si="25"/>
        <v>0</v>
      </c>
      <c r="O543" s="619"/>
      <c r="P543" s="619"/>
      <c r="Q543" s="619"/>
      <c r="R543" s="6"/>
      <c r="T543" s="142"/>
    </row>
    <row r="544" spans="2:20" ht="11.25" customHeight="1" outlineLevel="1">
      <c r="B544" s="5"/>
      <c r="C544" s="267"/>
      <c r="D544" s="267" t="s">
        <v>67</v>
      </c>
      <c r="E544" s="320" t="s">
        <v>1113</v>
      </c>
      <c r="F544" s="651" t="s">
        <v>1114</v>
      </c>
      <c r="G544" s="651"/>
      <c r="H544" s="651"/>
      <c r="I544" s="651"/>
      <c r="J544" s="179" t="s">
        <v>65</v>
      </c>
      <c r="K544" s="268">
        <f>(K539)*1.05</f>
        <v>7.2555000000000005</v>
      </c>
      <c r="L544" s="652"/>
      <c r="M544" s="652"/>
      <c r="N544" s="653">
        <f>ROUND(L544*K544,2)</f>
        <v>0</v>
      </c>
      <c r="O544" s="619"/>
      <c r="P544" s="619"/>
      <c r="Q544" s="619"/>
      <c r="R544" s="6"/>
      <c r="T544" s="142"/>
    </row>
    <row r="545" spans="2:20" ht="11.25" customHeight="1" outlineLevel="1">
      <c r="B545" s="5"/>
      <c r="C545" s="267"/>
      <c r="D545" s="267" t="s">
        <v>67</v>
      </c>
      <c r="E545" s="320">
        <v>28375906</v>
      </c>
      <c r="F545" s="651" t="s">
        <v>1115</v>
      </c>
      <c r="G545" s="651"/>
      <c r="H545" s="651"/>
      <c r="I545" s="651"/>
      <c r="J545" s="179" t="s">
        <v>66</v>
      </c>
      <c r="K545" s="268">
        <f>(K540)*0.22*1.05</f>
        <v>2.97297</v>
      </c>
      <c r="L545" s="652"/>
      <c r="M545" s="652"/>
      <c r="N545" s="653">
        <f>ROUND(L545*K545,2)</f>
        <v>0</v>
      </c>
      <c r="O545" s="619"/>
      <c r="P545" s="619"/>
      <c r="Q545" s="619"/>
      <c r="R545" s="6"/>
      <c r="T545" s="142"/>
    </row>
    <row r="546" spans="2:20" ht="11.25" customHeight="1" outlineLevel="1">
      <c r="B546" s="5"/>
      <c r="C546" s="267"/>
      <c r="D546" s="267" t="s">
        <v>67</v>
      </c>
      <c r="E546" s="320">
        <v>28376143</v>
      </c>
      <c r="F546" s="651" t="s">
        <v>1117</v>
      </c>
      <c r="G546" s="651"/>
      <c r="H546" s="651"/>
      <c r="I546" s="651"/>
      <c r="J546" s="179" t="s">
        <v>66</v>
      </c>
      <c r="K546" s="268">
        <f>(K541)*(0.02+0.03)/2*1.05</f>
        <v>0.3378375</v>
      </c>
      <c r="L546" s="652"/>
      <c r="M546" s="652"/>
      <c r="N546" s="653">
        <f>ROUND(L546*K546,2)</f>
        <v>0</v>
      </c>
      <c r="O546" s="619"/>
      <c r="P546" s="619"/>
      <c r="Q546" s="619"/>
      <c r="R546" s="6"/>
      <c r="T546" s="142"/>
    </row>
    <row r="547" spans="2:20" ht="26.25" customHeight="1" outlineLevel="1">
      <c r="B547" s="5"/>
      <c r="C547" s="267"/>
      <c r="D547" s="267" t="s">
        <v>67</v>
      </c>
      <c r="E547" s="320">
        <v>63231200</v>
      </c>
      <c r="F547" s="651" t="s">
        <v>425</v>
      </c>
      <c r="G547" s="651"/>
      <c r="H547" s="651"/>
      <c r="I547" s="651"/>
      <c r="J547" s="179" t="s">
        <v>65</v>
      </c>
      <c r="K547" s="268">
        <f>(K536)*1.05</f>
        <v>153.741</v>
      </c>
      <c r="L547" s="652"/>
      <c r="M547" s="652"/>
      <c r="N547" s="653">
        <f t="shared" si="25"/>
        <v>0</v>
      </c>
      <c r="O547" s="619"/>
      <c r="P547" s="619"/>
      <c r="Q547" s="619"/>
      <c r="R547" s="6"/>
      <c r="T547" s="142"/>
    </row>
    <row r="548" spans="2:20" ht="13.5" outlineLevel="1">
      <c r="B548" s="5"/>
      <c r="C548" s="261"/>
      <c r="D548" s="261" t="s">
        <v>64</v>
      </c>
      <c r="E548" s="262">
        <v>998713202</v>
      </c>
      <c r="F548" s="625" t="s">
        <v>1123</v>
      </c>
      <c r="G548" s="625"/>
      <c r="H548" s="625"/>
      <c r="I548" s="625"/>
      <c r="J548" s="174" t="s">
        <v>72</v>
      </c>
      <c r="K548" s="180">
        <f>SUM(N447:Q547)</f>
        <v>0</v>
      </c>
      <c r="L548" s="666"/>
      <c r="M548" s="666"/>
      <c r="N548" s="619">
        <f>ROUND(L548*K548,2)</f>
        <v>0</v>
      </c>
      <c r="O548" s="619"/>
      <c r="P548" s="619"/>
      <c r="Q548" s="619"/>
      <c r="R548" s="6"/>
      <c r="T548" s="142"/>
    </row>
    <row r="549" spans="2:22" s="143" customFormat="1" ht="12.75">
      <c r="B549" s="139"/>
      <c r="C549" s="140"/>
      <c r="D549" s="140" t="s">
        <v>53</v>
      </c>
      <c r="E549" s="140"/>
      <c r="F549" s="140"/>
      <c r="G549" s="140"/>
      <c r="H549" s="140"/>
      <c r="I549" s="140"/>
      <c r="J549" s="172"/>
      <c r="K549" s="140"/>
      <c r="L549" s="186"/>
      <c r="M549" s="186"/>
      <c r="N549" s="633">
        <f>SUM(N550:Q628)</f>
        <v>0</v>
      </c>
      <c r="O549" s="633"/>
      <c r="P549" s="633"/>
      <c r="Q549" s="633"/>
      <c r="R549" s="141"/>
      <c r="T549" s="142">
        <f>SUM(N549:Q628)/2</f>
        <v>0</v>
      </c>
      <c r="U549" s="177"/>
      <c r="V549" s="384"/>
    </row>
    <row r="550" spans="2:21" ht="13.5" outlineLevel="1">
      <c r="B550" s="5"/>
      <c r="C550" s="261"/>
      <c r="D550" s="261"/>
      <c r="E550" s="262"/>
      <c r="F550" s="625"/>
      <c r="G550" s="625"/>
      <c r="H550" s="625"/>
      <c r="I550" s="625"/>
      <c r="J550" s="174"/>
      <c r="K550" s="264"/>
      <c r="L550" s="668"/>
      <c r="M550" s="668"/>
      <c r="N550" s="619"/>
      <c r="O550" s="619"/>
      <c r="P550" s="619"/>
      <c r="Q550" s="619"/>
      <c r="R550" s="6"/>
      <c r="T550" s="199"/>
      <c r="U550" s="4"/>
    </row>
    <row r="551" spans="2:28" s="324" customFormat="1" ht="13.5" outlineLevel="1">
      <c r="B551" s="322"/>
      <c r="C551" s="327"/>
      <c r="D551" s="327" t="s">
        <v>1019</v>
      </c>
      <c r="E551" s="648" t="s">
        <v>1020</v>
      </c>
      <c r="F551" s="649"/>
      <c r="G551" s="649"/>
      <c r="H551" s="649"/>
      <c r="I551" s="650"/>
      <c r="J551" s="328"/>
      <c r="K551" s="329">
        <f>4.26*2</f>
        <v>8.52</v>
      </c>
      <c r="L551" s="654"/>
      <c r="M551" s="654"/>
      <c r="N551" s="655"/>
      <c r="O551" s="655"/>
      <c r="P551" s="655"/>
      <c r="Q551" s="655"/>
      <c r="R551" s="323"/>
      <c r="T551" s="325"/>
      <c r="U551" s="326"/>
      <c r="V551" s="387"/>
      <c r="W551" s="326"/>
      <c r="X551" s="326"/>
      <c r="Y551" s="326"/>
      <c r="Z551" s="326"/>
      <c r="AA551" s="326"/>
      <c r="AB551" s="326"/>
    </row>
    <row r="552" spans="2:20" ht="27" customHeight="1" outlineLevel="1">
      <c r="B552" s="5"/>
      <c r="C552" s="261"/>
      <c r="D552" s="261" t="s">
        <v>64</v>
      </c>
      <c r="E552" s="262">
        <v>762112120</v>
      </c>
      <c r="F552" s="661" t="s">
        <v>1021</v>
      </c>
      <c r="G552" s="662"/>
      <c r="H552" s="662"/>
      <c r="I552" s="663"/>
      <c r="J552" s="174" t="s">
        <v>70</v>
      </c>
      <c r="K552" s="264">
        <f>SUM(K553:K553)</f>
        <v>12</v>
      </c>
      <c r="L552" s="664"/>
      <c r="M552" s="665"/>
      <c r="N552" s="658">
        <f>ROUND(L552*K552,2)</f>
        <v>0</v>
      </c>
      <c r="O552" s="659"/>
      <c r="P552" s="659"/>
      <c r="Q552" s="660"/>
      <c r="R552" s="6"/>
      <c r="T552" s="142"/>
    </row>
    <row r="553" spans="2:22" s="177" customFormat="1" ht="13.5" outlineLevel="1">
      <c r="B553" s="175"/>
      <c r="E553" s="319" t="s">
        <v>1022</v>
      </c>
      <c r="F553" s="627" t="s">
        <v>1024</v>
      </c>
      <c r="G553" s="628">
        <f>5*(2.4/2)*2</f>
        <v>12</v>
      </c>
      <c r="H553" s="628">
        <f>5*(2.4/2)*2</f>
        <v>12</v>
      </c>
      <c r="I553" s="628">
        <f>5*(2.4/2)*2</f>
        <v>12</v>
      </c>
      <c r="J553" s="176">
        <f>0.08*0.18</f>
        <v>0.0144</v>
      </c>
      <c r="K553" s="266">
        <f>5*(2.4/2)*2</f>
        <v>12</v>
      </c>
      <c r="L553" s="419"/>
      <c r="M553" s="419"/>
      <c r="R553" s="178"/>
      <c r="T553" s="142"/>
      <c r="V553" s="386"/>
    </row>
    <row r="554" spans="2:20" ht="13.5" outlineLevel="1">
      <c r="B554" s="5"/>
      <c r="C554" s="267"/>
      <c r="D554" s="267" t="s">
        <v>67</v>
      </c>
      <c r="E554" s="320">
        <v>60512130</v>
      </c>
      <c r="F554" s="651" t="s">
        <v>1023</v>
      </c>
      <c r="G554" s="651"/>
      <c r="H554" s="651"/>
      <c r="I554" s="651"/>
      <c r="J554" s="179" t="s">
        <v>66</v>
      </c>
      <c r="K554" s="268">
        <f>K552*J553</f>
        <v>0.1728</v>
      </c>
      <c r="L554" s="652"/>
      <c r="M554" s="652"/>
      <c r="N554" s="653">
        <f>ROUND(L554*K554,2)</f>
        <v>0</v>
      </c>
      <c r="O554" s="619"/>
      <c r="P554" s="619"/>
      <c r="Q554" s="619"/>
      <c r="R554" s="6"/>
      <c r="T554" s="142"/>
    </row>
    <row r="555" spans="2:20" ht="13.5" outlineLevel="1">
      <c r="B555" s="5"/>
      <c r="C555" s="261"/>
      <c r="D555" s="261" t="s">
        <v>64</v>
      </c>
      <c r="E555" s="262">
        <v>762431034</v>
      </c>
      <c r="F555" s="625" t="s">
        <v>1026</v>
      </c>
      <c r="G555" s="625"/>
      <c r="H555" s="625"/>
      <c r="I555" s="625"/>
      <c r="J555" s="174" t="s">
        <v>65</v>
      </c>
      <c r="K555" s="264">
        <f>K551</f>
        <v>8.52</v>
      </c>
      <c r="L555" s="626"/>
      <c r="M555" s="626"/>
      <c r="N555" s="619">
        <f>ROUND(L555*K555,2)</f>
        <v>0</v>
      </c>
      <c r="O555" s="619"/>
      <c r="P555" s="619"/>
      <c r="Q555" s="619"/>
      <c r="R555" s="6"/>
      <c r="T555" s="142"/>
    </row>
    <row r="556" spans="2:20" ht="13.5" outlineLevel="1">
      <c r="B556" s="5"/>
      <c r="C556" s="261"/>
      <c r="D556" s="261" t="s">
        <v>64</v>
      </c>
      <c r="E556" s="262">
        <v>762195000</v>
      </c>
      <c r="F556" s="625" t="s">
        <v>1025</v>
      </c>
      <c r="G556" s="625"/>
      <c r="H556" s="625"/>
      <c r="I556" s="625"/>
      <c r="J556" s="174" t="s">
        <v>66</v>
      </c>
      <c r="K556" s="264">
        <f>K554</f>
        <v>0.1728</v>
      </c>
      <c r="L556" s="626"/>
      <c r="M556" s="626"/>
      <c r="N556" s="619">
        <f>ROUND(L556*K556,2)</f>
        <v>0</v>
      </c>
      <c r="O556" s="619"/>
      <c r="P556" s="619"/>
      <c r="Q556" s="619"/>
      <c r="R556" s="6"/>
      <c r="T556" s="142"/>
    </row>
    <row r="557" spans="2:21" ht="13.5" outlineLevel="1">
      <c r="B557" s="5"/>
      <c r="C557" s="261"/>
      <c r="D557" s="261" t="s">
        <v>64</v>
      </c>
      <c r="E557" s="262">
        <v>762439001</v>
      </c>
      <c r="F557" s="625" t="s">
        <v>1028</v>
      </c>
      <c r="G557" s="625"/>
      <c r="H557" s="625"/>
      <c r="I557" s="625"/>
      <c r="J557" s="174" t="s">
        <v>70</v>
      </c>
      <c r="K557" s="264">
        <f>SUM(K558:K558)</f>
        <v>18</v>
      </c>
      <c r="L557" s="626"/>
      <c r="M557" s="626"/>
      <c r="N557" s="619">
        <f>ROUND(L557*K557,2)</f>
        <v>0</v>
      </c>
      <c r="O557" s="619"/>
      <c r="P557" s="619"/>
      <c r="Q557" s="619"/>
      <c r="R557" s="6"/>
      <c r="T557" s="199"/>
      <c r="U557" s="4"/>
    </row>
    <row r="558" spans="2:22" s="177" customFormat="1" ht="13.5" outlineLevel="1">
      <c r="B558" s="175"/>
      <c r="E558" s="319" t="s">
        <v>1029</v>
      </c>
      <c r="F558" s="627" t="s">
        <v>1030</v>
      </c>
      <c r="G558" s="628">
        <f>6*3/2*2</f>
        <v>18</v>
      </c>
      <c r="H558" s="628">
        <f>6*3/2*2</f>
        <v>18</v>
      </c>
      <c r="I558" s="628">
        <f>6*3/2*2</f>
        <v>18</v>
      </c>
      <c r="J558" s="176">
        <f>0.08*0.06</f>
        <v>0.0048</v>
      </c>
      <c r="K558" s="266">
        <f>6*3/2*2</f>
        <v>18</v>
      </c>
      <c r="L558" s="419"/>
      <c r="M558" s="419"/>
      <c r="R558" s="178"/>
      <c r="T558" s="142"/>
      <c r="V558" s="386"/>
    </row>
    <row r="559" spans="2:20" ht="13.5" outlineLevel="1">
      <c r="B559" s="5"/>
      <c r="C559" s="267"/>
      <c r="D559" s="267" t="s">
        <v>67</v>
      </c>
      <c r="E559" s="320">
        <v>60514114</v>
      </c>
      <c r="F559" s="651" t="s">
        <v>1031</v>
      </c>
      <c r="G559" s="651"/>
      <c r="H559" s="651"/>
      <c r="I559" s="651"/>
      <c r="J559" s="179" t="s">
        <v>66</v>
      </c>
      <c r="K559" s="268">
        <f>K558*J558</f>
        <v>0.08639999999999999</v>
      </c>
      <c r="L559" s="652"/>
      <c r="M559" s="652"/>
      <c r="N559" s="653">
        <f>ROUND(L559*K559,2)</f>
        <v>0</v>
      </c>
      <c r="O559" s="619"/>
      <c r="P559" s="619"/>
      <c r="Q559" s="619"/>
      <c r="R559" s="6"/>
      <c r="T559" s="142"/>
    </row>
    <row r="560" spans="2:28" s="324" customFormat="1" ht="13.5" outlineLevel="1">
      <c r="B560" s="322"/>
      <c r="C560" s="327"/>
      <c r="D560" s="327" t="s">
        <v>1033</v>
      </c>
      <c r="E560" s="648" t="s">
        <v>1035</v>
      </c>
      <c r="F560" s="649"/>
      <c r="G560" s="649"/>
      <c r="H560" s="649"/>
      <c r="I560" s="650"/>
      <c r="J560" s="328"/>
      <c r="K560" s="329">
        <f>6.5*2*(18.7+12.4)/2</f>
        <v>202.15</v>
      </c>
      <c r="L560" s="654"/>
      <c r="M560" s="654"/>
      <c r="N560" s="655"/>
      <c r="O560" s="655"/>
      <c r="P560" s="655"/>
      <c r="Q560" s="655"/>
      <c r="R560" s="323"/>
      <c r="T560" s="325"/>
      <c r="U560" s="326"/>
      <c r="V560" s="387"/>
      <c r="W560" s="326"/>
      <c r="X560" s="326"/>
      <c r="Y560" s="326"/>
      <c r="Z560" s="326"/>
      <c r="AA560" s="326"/>
      <c r="AB560" s="326"/>
    </row>
    <row r="561" spans="2:20" ht="13.5" outlineLevel="1">
      <c r="B561" s="5"/>
      <c r="C561" s="261"/>
      <c r="D561" s="261" t="s">
        <v>64</v>
      </c>
      <c r="E561" s="262">
        <v>713191411</v>
      </c>
      <c r="F561" s="661" t="s">
        <v>1036</v>
      </c>
      <c r="G561" s="662"/>
      <c r="H561" s="662"/>
      <c r="I561" s="663"/>
      <c r="J561" s="174" t="s">
        <v>70</v>
      </c>
      <c r="K561" s="264">
        <f>SUM(K562)</f>
        <v>297.27941176470586</v>
      </c>
      <c r="L561" s="664"/>
      <c r="M561" s="665"/>
      <c r="N561" s="658">
        <f>ROUND(L561*K561,2)</f>
        <v>0</v>
      </c>
      <c r="O561" s="659"/>
      <c r="P561" s="659"/>
      <c r="Q561" s="660"/>
      <c r="R561" s="6"/>
      <c r="T561" s="142"/>
    </row>
    <row r="562" spans="2:22" s="177" customFormat="1" ht="13.5" outlineLevel="1">
      <c r="B562" s="175"/>
      <c r="E562" s="319"/>
      <c r="F562" s="627" t="s">
        <v>165</v>
      </c>
      <c r="G562" s="628">
        <f>5*(2.4/2)*2</f>
        <v>12</v>
      </c>
      <c r="H562" s="628">
        <f>5*(2.4/2)*2</f>
        <v>12</v>
      </c>
      <c r="I562" s="628">
        <f>5*(2.4/2)*2</f>
        <v>12</v>
      </c>
      <c r="J562" s="176">
        <f>0.08*0.08</f>
        <v>0.0064</v>
      </c>
      <c r="K562" s="266">
        <f>K560/0.68</f>
        <v>297.27941176470586</v>
      </c>
      <c r="L562" s="419"/>
      <c r="M562" s="419"/>
      <c r="R562" s="178"/>
      <c r="T562" s="142"/>
      <c r="V562" s="386"/>
    </row>
    <row r="563" spans="2:20" ht="13.5" outlineLevel="1">
      <c r="B563" s="5"/>
      <c r="C563" s="267"/>
      <c r="D563" s="267" t="s">
        <v>67</v>
      </c>
      <c r="E563" s="320">
        <v>60514114</v>
      </c>
      <c r="F563" s="651" t="s">
        <v>1031</v>
      </c>
      <c r="G563" s="651"/>
      <c r="H563" s="651"/>
      <c r="I563" s="651"/>
      <c r="J563" s="179" t="s">
        <v>66</v>
      </c>
      <c r="K563" s="268">
        <f>K562*J562</f>
        <v>1.9025882352941175</v>
      </c>
      <c r="L563" s="652"/>
      <c r="M563" s="652"/>
      <c r="N563" s="653">
        <f>ROUND(L563*K563,2)</f>
        <v>0</v>
      </c>
      <c r="O563" s="619"/>
      <c r="P563" s="619"/>
      <c r="Q563" s="619"/>
      <c r="R563" s="6"/>
      <c r="T563" s="142"/>
    </row>
    <row r="564" spans="2:21" ht="13.5" outlineLevel="1">
      <c r="B564" s="5"/>
      <c r="C564" s="261"/>
      <c r="D564" s="261" t="s">
        <v>64</v>
      </c>
      <c r="E564" s="262">
        <v>762395000</v>
      </c>
      <c r="F564" s="625" t="s">
        <v>256</v>
      </c>
      <c r="G564" s="625"/>
      <c r="H564" s="625"/>
      <c r="I564" s="625"/>
      <c r="J564" s="174" t="s">
        <v>66</v>
      </c>
      <c r="K564" s="264">
        <f>K563</f>
        <v>1.9025882352941175</v>
      </c>
      <c r="L564" s="626"/>
      <c r="M564" s="626"/>
      <c r="N564" s="619">
        <f>ROUND(L564*K564,2)</f>
        <v>0</v>
      </c>
      <c r="O564" s="619"/>
      <c r="P564" s="619"/>
      <c r="Q564" s="619"/>
      <c r="R564" s="6"/>
      <c r="T564" s="199"/>
      <c r="U564" s="4"/>
    </row>
    <row r="565" spans="2:28" s="324" customFormat="1" ht="13.5" outlineLevel="1">
      <c r="B565" s="322"/>
      <c r="C565" s="327"/>
      <c r="D565" s="327" t="s">
        <v>1039</v>
      </c>
      <c r="E565" s="648" t="s">
        <v>1040</v>
      </c>
      <c r="F565" s="649"/>
      <c r="G565" s="649"/>
      <c r="H565" s="649"/>
      <c r="I565" s="650"/>
      <c r="J565" s="328"/>
      <c r="K565" s="329">
        <f>2.4*1.7*2</f>
        <v>8.16</v>
      </c>
      <c r="L565" s="654"/>
      <c r="M565" s="654"/>
      <c r="N565" s="655"/>
      <c r="O565" s="655"/>
      <c r="P565" s="655"/>
      <c r="Q565" s="655"/>
      <c r="R565" s="323"/>
      <c r="T565" s="325"/>
      <c r="U565" s="326"/>
      <c r="V565" s="387"/>
      <c r="W565" s="326"/>
      <c r="X565" s="326"/>
      <c r="Y565" s="326"/>
      <c r="Z565" s="326"/>
      <c r="AA565" s="326"/>
      <c r="AB565" s="326"/>
    </row>
    <row r="566" spans="2:20" ht="13.5" outlineLevel="1">
      <c r="B566" s="5"/>
      <c r="C566" s="261"/>
      <c r="D566" s="261" t="s">
        <v>64</v>
      </c>
      <c r="E566" s="262">
        <v>713191411</v>
      </c>
      <c r="F566" s="661" t="s">
        <v>1036</v>
      </c>
      <c r="G566" s="662"/>
      <c r="H566" s="662"/>
      <c r="I566" s="663"/>
      <c r="J566" s="174" t="s">
        <v>70</v>
      </c>
      <c r="K566" s="264">
        <f>SUM(K567)</f>
        <v>12</v>
      </c>
      <c r="L566" s="664"/>
      <c r="M566" s="665"/>
      <c r="N566" s="658">
        <f>ROUND(L566*K566,2)</f>
        <v>0</v>
      </c>
      <c r="O566" s="659"/>
      <c r="P566" s="659"/>
      <c r="Q566" s="660"/>
      <c r="R566" s="6"/>
      <c r="T566" s="142"/>
    </row>
    <row r="567" spans="2:22" s="177" customFormat="1" ht="13.5" outlineLevel="1">
      <c r="B567" s="175"/>
      <c r="E567" s="319"/>
      <c r="F567" s="627" t="s">
        <v>165</v>
      </c>
      <c r="G567" s="628">
        <f>5*(2.4/2)*2</f>
        <v>12</v>
      </c>
      <c r="H567" s="628">
        <f>5*(2.4/2)*2</f>
        <v>12</v>
      </c>
      <c r="I567" s="628">
        <f>5*(2.4/2)*2</f>
        <v>12</v>
      </c>
      <c r="J567" s="176">
        <f>0.08*0.08</f>
        <v>0.0064</v>
      </c>
      <c r="K567" s="266">
        <f>K565/0.68</f>
        <v>12</v>
      </c>
      <c r="L567" s="419"/>
      <c r="M567" s="419"/>
      <c r="R567" s="178"/>
      <c r="T567" s="142"/>
      <c r="V567" s="386"/>
    </row>
    <row r="568" spans="2:20" ht="13.5" outlineLevel="1">
      <c r="B568" s="5"/>
      <c r="C568" s="267"/>
      <c r="D568" s="267" t="s">
        <v>67</v>
      </c>
      <c r="E568" s="320">
        <v>60514114</v>
      </c>
      <c r="F568" s="651" t="s">
        <v>1031</v>
      </c>
      <c r="G568" s="651"/>
      <c r="H568" s="651"/>
      <c r="I568" s="651"/>
      <c r="J568" s="179" t="s">
        <v>66</v>
      </c>
      <c r="K568" s="268">
        <f>K567*J567</f>
        <v>0.07680000000000001</v>
      </c>
      <c r="L568" s="652"/>
      <c r="M568" s="652"/>
      <c r="N568" s="653">
        <f>ROUND(L568*K568,2)</f>
        <v>0</v>
      </c>
      <c r="O568" s="619"/>
      <c r="P568" s="619"/>
      <c r="Q568" s="619"/>
      <c r="R568" s="6"/>
      <c r="T568" s="142"/>
    </row>
    <row r="569" spans="2:20" ht="27" customHeight="1" outlineLevel="1">
      <c r="B569" s="5"/>
      <c r="C569" s="261"/>
      <c r="D569" s="261" t="s">
        <v>64</v>
      </c>
      <c r="E569" s="262">
        <v>762332132</v>
      </c>
      <c r="F569" s="661" t="s">
        <v>485</v>
      </c>
      <c r="G569" s="662"/>
      <c r="H569" s="662"/>
      <c r="I569" s="663"/>
      <c r="J569" s="174" t="s">
        <v>70</v>
      </c>
      <c r="K569" s="264">
        <f>SUM(K570:K570)</f>
        <v>4.8</v>
      </c>
      <c r="L569" s="664"/>
      <c r="M569" s="665"/>
      <c r="N569" s="658">
        <f>ROUND(L569*K569,2)</f>
        <v>0</v>
      </c>
      <c r="O569" s="659"/>
      <c r="P569" s="659"/>
      <c r="Q569" s="660"/>
      <c r="R569" s="6"/>
      <c r="T569" s="142"/>
    </row>
    <row r="570" spans="2:22" s="177" customFormat="1" ht="13.5" outlineLevel="1">
      <c r="B570" s="175"/>
      <c r="E570" s="319" t="s">
        <v>1041</v>
      </c>
      <c r="F570" s="627" t="s">
        <v>1042</v>
      </c>
      <c r="G570" s="628">
        <f>2.4*2</f>
        <v>4.8</v>
      </c>
      <c r="H570" s="628">
        <f>2.4*2</f>
        <v>4.8</v>
      </c>
      <c r="I570" s="628">
        <f>2.4*2</f>
        <v>4.8</v>
      </c>
      <c r="J570" s="176">
        <f>0.1*0.16</f>
        <v>0.016</v>
      </c>
      <c r="K570" s="266">
        <f>2.4*2</f>
        <v>4.8</v>
      </c>
      <c r="L570" s="419"/>
      <c r="M570" s="419"/>
      <c r="R570" s="178"/>
      <c r="T570" s="142"/>
      <c r="V570" s="386"/>
    </row>
    <row r="571" spans="2:20" ht="13.5" outlineLevel="1">
      <c r="B571" s="5"/>
      <c r="C571" s="267"/>
      <c r="D571" s="267" t="s">
        <v>67</v>
      </c>
      <c r="E571" s="320">
        <v>60512130</v>
      </c>
      <c r="F571" s="651" t="s">
        <v>1023</v>
      </c>
      <c r="G571" s="651"/>
      <c r="H571" s="651"/>
      <c r="I571" s="651"/>
      <c r="J571" s="179" t="s">
        <v>66</v>
      </c>
      <c r="K571" s="268">
        <f>K570*J570</f>
        <v>0.0768</v>
      </c>
      <c r="L571" s="652"/>
      <c r="M571" s="652"/>
      <c r="N571" s="653">
        <f>ROUND(L571*K571,2)</f>
        <v>0</v>
      </c>
      <c r="O571" s="619"/>
      <c r="P571" s="619"/>
      <c r="Q571" s="619"/>
      <c r="R571" s="6"/>
      <c r="T571" s="142"/>
    </row>
    <row r="572" spans="2:20" ht="13.5" outlineLevel="1">
      <c r="B572" s="5"/>
      <c r="C572" s="261"/>
      <c r="D572" s="261" t="s">
        <v>64</v>
      </c>
      <c r="E572" s="262">
        <v>713151111</v>
      </c>
      <c r="F572" s="625" t="s">
        <v>1043</v>
      </c>
      <c r="G572" s="625"/>
      <c r="H572" s="625"/>
      <c r="I572" s="625"/>
      <c r="J572" s="174" t="s">
        <v>65</v>
      </c>
      <c r="K572" s="264">
        <f>K565</f>
        <v>8.16</v>
      </c>
      <c r="L572" s="626"/>
      <c r="M572" s="626"/>
      <c r="N572" s="619">
        <f>ROUND(L572*K572,2)</f>
        <v>0</v>
      </c>
      <c r="O572" s="619"/>
      <c r="P572" s="619"/>
      <c r="Q572" s="619"/>
      <c r="R572" s="6"/>
      <c r="T572" s="142"/>
    </row>
    <row r="573" spans="2:20" ht="27" customHeight="1" outlineLevel="1">
      <c r="B573" s="5"/>
      <c r="C573" s="261"/>
      <c r="D573" s="261" t="s">
        <v>64</v>
      </c>
      <c r="E573" s="262">
        <v>713191133</v>
      </c>
      <c r="F573" s="661" t="s">
        <v>1037</v>
      </c>
      <c r="G573" s="662"/>
      <c r="H573" s="662"/>
      <c r="I573" s="663"/>
      <c r="J573" s="174" t="s">
        <v>65</v>
      </c>
      <c r="K573" s="264">
        <f>K565</f>
        <v>8.16</v>
      </c>
      <c r="L573" s="664"/>
      <c r="M573" s="665"/>
      <c r="N573" s="658">
        <f>ROUND(L573*K573,2)</f>
        <v>0</v>
      </c>
      <c r="O573" s="659"/>
      <c r="P573" s="659"/>
      <c r="Q573" s="660"/>
      <c r="R573" s="6"/>
      <c r="T573" s="142"/>
    </row>
    <row r="574" spans="2:20" ht="26.25" customHeight="1" outlineLevel="1">
      <c r="B574" s="5"/>
      <c r="C574" s="267"/>
      <c r="D574" s="267" t="s">
        <v>67</v>
      </c>
      <c r="E574" s="320">
        <v>28329029</v>
      </c>
      <c r="F574" s="651" t="s">
        <v>1032</v>
      </c>
      <c r="G574" s="651"/>
      <c r="H574" s="651"/>
      <c r="I574" s="651"/>
      <c r="J574" s="179" t="s">
        <v>65</v>
      </c>
      <c r="K574" s="268">
        <f>K573*1.05</f>
        <v>8.568000000000001</v>
      </c>
      <c r="L574" s="652"/>
      <c r="M574" s="652"/>
      <c r="N574" s="653">
        <f>ROUND(L574*K574,2)</f>
        <v>0</v>
      </c>
      <c r="O574" s="619"/>
      <c r="P574" s="619"/>
      <c r="Q574" s="619"/>
      <c r="R574" s="6"/>
      <c r="T574" s="142"/>
    </row>
    <row r="575" spans="2:21" ht="13.5" outlineLevel="1">
      <c r="B575" s="5"/>
      <c r="C575" s="261"/>
      <c r="D575" s="261" t="s">
        <v>64</v>
      </c>
      <c r="E575" s="262">
        <v>762342511</v>
      </c>
      <c r="F575" s="625" t="s">
        <v>1044</v>
      </c>
      <c r="G575" s="625"/>
      <c r="H575" s="625"/>
      <c r="I575" s="625"/>
      <c r="J575" s="174" t="s">
        <v>70</v>
      </c>
      <c r="K575" s="264">
        <f>SUM(K576)</f>
        <v>4.8</v>
      </c>
      <c r="L575" s="626"/>
      <c r="M575" s="626"/>
      <c r="N575" s="619">
        <f>ROUND(L575*K575,2)</f>
        <v>0</v>
      </c>
      <c r="O575" s="619"/>
      <c r="P575" s="619"/>
      <c r="Q575" s="619"/>
      <c r="R575" s="6"/>
      <c r="T575" s="199"/>
      <c r="U575" s="4"/>
    </row>
    <row r="576" spans="2:22" s="177" customFormat="1" ht="13.5" outlineLevel="1">
      <c r="B576" s="175"/>
      <c r="E576" s="319" t="s">
        <v>1041</v>
      </c>
      <c r="F576" s="627" t="s">
        <v>1042</v>
      </c>
      <c r="G576" s="628">
        <f>2.4*2</f>
        <v>4.8</v>
      </c>
      <c r="H576" s="628">
        <f>2.4*2</f>
        <v>4.8</v>
      </c>
      <c r="I576" s="628">
        <f>2.4*2</f>
        <v>4.8</v>
      </c>
      <c r="J576" s="176">
        <f>0.04*0.06</f>
        <v>0.0024</v>
      </c>
      <c r="K576" s="266">
        <f>K570</f>
        <v>4.8</v>
      </c>
      <c r="L576" s="419"/>
      <c r="M576" s="419"/>
      <c r="R576" s="178"/>
      <c r="T576" s="142"/>
      <c r="V576" s="386"/>
    </row>
    <row r="577" spans="2:20" ht="27" customHeight="1" outlineLevel="1">
      <c r="B577" s="5"/>
      <c r="C577" s="261"/>
      <c r="D577" s="261" t="s">
        <v>64</v>
      </c>
      <c r="E577" s="262">
        <v>762342214</v>
      </c>
      <c r="F577" s="661" t="s">
        <v>1034</v>
      </c>
      <c r="G577" s="662"/>
      <c r="H577" s="662"/>
      <c r="I577" s="663"/>
      <c r="J577" s="174" t="s">
        <v>65</v>
      </c>
      <c r="K577" s="264">
        <f>K565</f>
        <v>8.16</v>
      </c>
      <c r="L577" s="664"/>
      <c r="M577" s="665"/>
      <c r="N577" s="658">
        <f>ROUND(L577*K577,2)</f>
        <v>0</v>
      </c>
      <c r="O577" s="659"/>
      <c r="P577" s="659"/>
      <c r="Q577" s="660"/>
      <c r="R577" s="6"/>
      <c r="T577" s="142"/>
    </row>
    <row r="578" spans="2:22" s="177" customFormat="1" ht="13.5" outlineLevel="1">
      <c r="B578" s="175"/>
      <c r="E578" s="319" t="s">
        <v>1041</v>
      </c>
      <c r="F578" s="627" t="s">
        <v>165</v>
      </c>
      <c r="G578" s="628"/>
      <c r="H578" s="628"/>
      <c r="I578" s="628"/>
      <c r="J578" s="176">
        <f>0.04*0.06</f>
        <v>0.0024</v>
      </c>
      <c r="K578" s="266">
        <f>K565</f>
        <v>8.16</v>
      </c>
      <c r="L578" s="419"/>
      <c r="M578" s="419"/>
      <c r="R578" s="178"/>
      <c r="T578" s="142"/>
      <c r="V578" s="386"/>
    </row>
    <row r="579" spans="2:20" ht="13.5" outlineLevel="1">
      <c r="B579" s="5"/>
      <c r="C579" s="267"/>
      <c r="D579" s="267" t="s">
        <v>67</v>
      </c>
      <c r="E579" s="320">
        <v>60514114</v>
      </c>
      <c r="F579" s="651" t="s">
        <v>1031</v>
      </c>
      <c r="G579" s="651"/>
      <c r="H579" s="651"/>
      <c r="I579" s="651"/>
      <c r="J579" s="179" t="s">
        <v>66</v>
      </c>
      <c r="K579" s="268">
        <f>K578*J578/0.36+K576*J576</f>
        <v>0.06591999999999999</v>
      </c>
      <c r="L579" s="652"/>
      <c r="M579" s="652"/>
      <c r="N579" s="653">
        <f>ROUND(L579*K579,2)</f>
        <v>0</v>
      </c>
      <c r="O579" s="619"/>
      <c r="P579" s="619"/>
      <c r="Q579" s="619"/>
      <c r="R579" s="6"/>
      <c r="T579" s="142"/>
    </row>
    <row r="580" spans="2:21" ht="13.5" outlineLevel="1">
      <c r="B580" s="5"/>
      <c r="C580" s="261"/>
      <c r="D580" s="261" t="s">
        <v>64</v>
      </c>
      <c r="E580" s="262">
        <v>762395000</v>
      </c>
      <c r="F580" s="625" t="s">
        <v>256</v>
      </c>
      <c r="G580" s="625"/>
      <c r="H580" s="625"/>
      <c r="I580" s="625"/>
      <c r="J580" s="174" t="s">
        <v>66</v>
      </c>
      <c r="K580" s="264">
        <f>K568+K571+K579</f>
        <v>0.21952</v>
      </c>
      <c r="L580" s="626"/>
      <c r="M580" s="626"/>
      <c r="N580" s="619">
        <f>ROUND(L580*K580,2)</f>
        <v>0</v>
      </c>
      <c r="O580" s="619"/>
      <c r="P580" s="619"/>
      <c r="Q580" s="619"/>
      <c r="R580" s="6"/>
      <c r="T580" s="199"/>
      <c r="U580" s="4"/>
    </row>
    <row r="581" spans="2:28" s="324" customFormat="1" ht="13.5" outlineLevel="1">
      <c r="B581" s="322"/>
      <c r="C581" s="327"/>
      <c r="D581" s="327" t="s">
        <v>1046</v>
      </c>
      <c r="E581" s="648" t="s">
        <v>1047</v>
      </c>
      <c r="F581" s="649"/>
      <c r="G581" s="649"/>
      <c r="H581" s="649"/>
      <c r="I581" s="650"/>
      <c r="J581" s="328"/>
      <c r="K581" s="329">
        <f>4.2*2*(23.6+32.3)/2</f>
        <v>234.78</v>
      </c>
      <c r="L581" s="654"/>
      <c r="M581" s="654"/>
      <c r="N581" s="655"/>
      <c r="O581" s="655"/>
      <c r="P581" s="655"/>
      <c r="Q581" s="655"/>
      <c r="R581" s="323"/>
      <c r="T581" s="325"/>
      <c r="U581" s="326"/>
      <c r="V581" s="387"/>
      <c r="W581" s="326"/>
      <c r="X581" s="326"/>
      <c r="Y581" s="326"/>
      <c r="Z581" s="326"/>
      <c r="AA581" s="326"/>
      <c r="AB581" s="326"/>
    </row>
    <row r="582" spans="2:20" ht="13.5" outlineLevel="1">
      <c r="B582" s="5"/>
      <c r="C582" s="261"/>
      <c r="D582" s="261" t="s">
        <v>64</v>
      </c>
      <c r="E582" s="262">
        <v>713191411</v>
      </c>
      <c r="F582" s="661" t="s">
        <v>1036</v>
      </c>
      <c r="G582" s="662"/>
      <c r="H582" s="662"/>
      <c r="I582" s="663"/>
      <c r="J582" s="174" t="s">
        <v>70</v>
      </c>
      <c r="K582" s="264">
        <f>SUM(K583)</f>
        <v>345.2647058823529</v>
      </c>
      <c r="L582" s="664"/>
      <c r="M582" s="665"/>
      <c r="N582" s="658">
        <f>ROUND(L582*K582,2)</f>
        <v>0</v>
      </c>
      <c r="O582" s="659"/>
      <c r="P582" s="659"/>
      <c r="Q582" s="660"/>
      <c r="R582" s="6"/>
      <c r="T582" s="142"/>
    </row>
    <row r="583" spans="2:22" s="177" customFormat="1" ht="13.5" outlineLevel="1">
      <c r="B583" s="175"/>
      <c r="E583" s="319"/>
      <c r="F583" s="627" t="s">
        <v>165</v>
      </c>
      <c r="G583" s="628">
        <f>5*(2.4/2)*2</f>
        <v>12</v>
      </c>
      <c r="H583" s="628">
        <f>5*(2.4/2)*2</f>
        <v>12</v>
      </c>
      <c r="I583" s="628">
        <f>5*(2.4/2)*2</f>
        <v>12</v>
      </c>
      <c r="J583" s="176">
        <f>0.08*0.08</f>
        <v>0.0064</v>
      </c>
      <c r="K583" s="266">
        <f>K581/0.68</f>
        <v>345.2647058823529</v>
      </c>
      <c r="L583" s="419"/>
      <c r="M583" s="419"/>
      <c r="R583" s="178"/>
      <c r="T583" s="142"/>
      <c r="V583" s="386"/>
    </row>
    <row r="584" spans="2:20" ht="13.5" outlineLevel="1">
      <c r="B584" s="5"/>
      <c r="C584" s="267"/>
      <c r="D584" s="267" t="s">
        <v>67</v>
      </c>
      <c r="E584" s="320">
        <v>60514114</v>
      </c>
      <c r="F584" s="651" t="s">
        <v>1031</v>
      </c>
      <c r="G584" s="651"/>
      <c r="H584" s="651"/>
      <c r="I584" s="651"/>
      <c r="J584" s="179" t="s">
        <v>66</v>
      </c>
      <c r="K584" s="268">
        <f>K583*J583</f>
        <v>2.209694117647059</v>
      </c>
      <c r="L584" s="652"/>
      <c r="M584" s="652"/>
      <c r="N584" s="653">
        <f>ROUND(L584*K584,2)</f>
        <v>0</v>
      </c>
      <c r="O584" s="619"/>
      <c r="P584" s="619"/>
      <c r="Q584" s="619"/>
      <c r="R584" s="6"/>
      <c r="T584" s="142"/>
    </row>
    <row r="585" spans="2:21" ht="13.5" outlineLevel="1">
      <c r="B585" s="5"/>
      <c r="C585" s="261"/>
      <c r="D585" s="261" t="s">
        <v>64</v>
      </c>
      <c r="E585" s="262">
        <v>762395000</v>
      </c>
      <c r="F585" s="625" t="s">
        <v>256</v>
      </c>
      <c r="G585" s="625"/>
      <c r="H585" s="625"/>
      <c r="I585" s="625"/>
      <c r="J585" s="174" t="s">
        <v>66</v>
      </c>
      <c r="K585" s="264">
        <f>K584</f>
        <v>2.209694117647059</v>
      </c>
      <c r="L585" s="626"/>
      <c r="M585" s="626"/>
      <c r="N585" s="619">
        <f>ROUND(L585*K585,2)</f>
        <v>0</v>
      </c>
      <c r="O585" s="619"/>
      <c r="P585" s="619"/>
      <c r="Q585" s="619"/>
      <c r="R585" s="6"/>
      <c r="T585" s="199"/>
      <c r="U585" s="4"/>
    </row>
    <row r="586" spans="2:28" s="324" customFormat="1" ht="13.5" outlineLevel="1">
      <c r="B586" s="322"/>
      <c r="C586" s="327"/>
      <c r="D586" s="327" t="s">
        <v>1048</v>
      </c>
      <c r="E586" s="648" t="s">
        <v>1049</v>
      </c>
      <c r="F586" s="649"/>
      <c r="G586" s="649"/>
      <c r="H586" s="649"/>
      <c r="I586" s="650"/>
      <c r="J586" s="328"/>
      <c r="K586" s="329">
        <f>2.4*1.7*9</f>
        <v>36.72</v>
      </c>
      <c r="L586" s="654"/>
      <c r="M586" s="654"/>
      <c r="N586" s="655"/>
      <c r="O586" s="655"/>
      <c r="P586" s="655"/>
      <c r="Q586" s="655"/>
      <c r="R586" s="323"/>
      <c r="T586" s="325"/>
      <c r="U586" s="326"/>
      <c r="V586" s="387"/>
      <c r="W586" s="326"/>
      <c r="X586" s="326"/>
      <c r="Y586" s="326"/>
      <c r="Z586" s="326"/>
      <c r="AA586" s="326"/>
      <c r="AB586" s="326"/>
    </row>
    <row r="587" spans="2:20" ht="13.5" outlineLevel="1">
      <c r="B587" s="5"/>
      <c r="C587" s="261"/>
      <c r="D587" s="261" t="s">
        <v>64</v>
      </c>
      <c r="E587" s="262">
        <v>713191411</v>
      </c>
      <c r="F587" s="661" t="s">
        <v>1036</v>
      </c>
      <c r="G587" s="662"/>
      <c r="H587" s="662"/>
      <c r="I587" s="663"/>
      <c r="J587" s="174" t="s">
        <v>70</v>
      </c>
      <c r="K587" s="264">
        <f>SUM(K588)</f>
        <v>53.99999999999999</v>
      </c>
      <c r="L587" s="664"/>
      <c r="M587" s="665"/>
      <c r="N587" s="658">
        <f>ROUND(L587*K587,2)</f>
        <v>0</v>
      </c>
      <c r="O587" s="659"/>
      <c r="P587" s="659"/>
      <c r="Q587" s="660"/>
      <c r="R587" s="6"/>
      <c r="T587" s="142"/>
    </row>
    <row r="588" spans="2:22" s="177" customFormat="1" ht="13.5" outlineLevel="1">
      <c r="B588" s="175"/>
      <c r="E588" s="319"/>
      <c r="F588" s="627" t="s">
        <v>165</v>
      </c>
      <c r="G588" s="628">
        <f>5*(2.4/2)*2</f>
        <v>12</v>
      </c>
      <c r="H588" s="628">
        <f>5*(2.4/2)*2</f>
        <v>12</v>
      </c>
      <c r="I588" s="628">
        <f>5*(2.4/2)*2</f>
        <v>12</v>
      </c>
      <c r="J588" s="176">
        <f>0.08*0.08</f>
        <v>0.0064</v>
      </c>
      <c r="K588" s="266">
        <f>K586/0.68</f>
        <v>53.99999999999999</v>
      </c>
      <c r="L588" s="419"/>
      <c r="M588" s="419"/>
      <c r="R588" s="178"/>
      <c r="T588" s="142"/>
      <c r="V588" s="386"/>
    </row>
    <row r="589" spans="2:20" ht="13.5" outlineLevel="1">
      <c r="B589" s="5"/>
      <c r="C589" s="267"/>
      <c r="D589" s="267" t="s">
        <v>67</v>
      </c>
      <c r="E589" s="320">
        <v>60514114</v>
      </c>
      <c r="F589" s="651" t="s">
        <v>1031</v>
      </c>
      <c r="G589" s="651"/>
      <c r="H589" s="651"/>
      <c r="I589" s="651"/>
      <c r="J589" s="179" t="s">
        <v>66</v>
      </c>
      <c r="K589" s="268">
        <f>K588*J588</f>
        <v>0.34559999999999996</v>
      </c>
      <c r="L589" s="652"/>
      <c r="M589" s="652"/>
      <c r="N589" s="653">
        <f>ROUND(L589*K589,2)</f>
        <v>0</v>
      </c>
      <c r="O589" s="619"/>
      <c r="P589" s="619"/>
      <c r="Q589" s="619"/>
      <c r="R589" s="6"/>
      <c r="T589" s="142"/>
    </row>
    <row r="590" spans="2:20" ht="27" customHeight="1" outlineLevel="1">
      <c r="B590" s="5"/>
      <c r="C590" s="261"/>
      <c r="D590" s="261" t="s">
        <v>64</v>
      </c>
      <c r="E590" s="262">
        <v>762332132</v>
      </c>
      <c r="F590" s="661" t="s">
        <v>485</v>
      </c>
      <c r="G590" s="662"/>
      <c r="H590" s="662"/>
      <c r="I590" s="663"/>
      <c r="J590" s="174" t="s">
        <v>70</v>
      </c>
      <c r="K590" s="264">
        <f>SUM(K591:K591)</f>
        <v>21.599999999999998</v>
      </c>
      <c r="L590" s="664"/>
      <c r="M590" s="665"/>
      <c r="N590" s="658">
        <f>ROUND(L590*K590,2)</f>
        <v>0</v>
      </c>
      <c r="O590" s="659"/>
      <c r="P590" s="659"/>
      <c r="Q590" s="660"/>
      <c r="R590" s="6"/>
      <c r="T590" s="142"/>
    </row>
    <row r="591" spans="2:22" s="177" customFormat="1" ht="13.5" outlineLevel="1">
      <c r="B591" s="175"/>
      <c r="E591" s="319" t="s">
        <v>1041</v>
      </c>
      <c r="F591" s="627" t="s">
        <v>1050</v>
      </c>
      <c r="G591" s="628">
        <f>2.4*2</f>
        <v>4.8</v>
      </c>
      <c r="H591" s="628">
        <f>2.4*2</f>
        <v>4.8</v>
      </c>
      <c r="I591" s="628">
        <f>2.4*2</f>
        <v>4.8</v>
      </c>
      <c r="J591" s="176">
        <f>0.1*0.16</f>
        <v>0.016</v>
      </c>
      <c r="K591" s="266">
        <f>2.4*9</f>
        <v>21.599999999999998</v>
      </c>
      <c r="L591" s="419"/>
      <c r="M591" s="419"/>
      <c r="R591" s="178"/>
      <c r="T591" s="142"/>
      <c r="V591" s="386"/>
    </row>
    <row r="592" spans="2:20" ht="13.5" outlineLevel="1">
      <c r="B592" s="5"/>
      <c r="C592" s="267"/>
      <c r="D592" s="267" t="s">
        <v>67</v>
      </c>
      <c r="E592" s="320">
        <v>60512130</v>
      </c>
      <c r="F592" s="651" t="s">
        <v>1023</v>
      </c>
      <c r="G592" s="651"/>
      <c r="H592" s="651"/>
      <c r="I592" s="651"/>
      <c r="J592" s="179" t="s">
        <v>66</v>
      </c>
      <c r="K592" s="268">
        <f>K591*J591</f>
        <v>0.34559999999999996</v>
      </c>
      <c r="L592" s="652"/>
      <c r="M592" s="652"/>
      <c r="N592" s="653">
        <f>ROUND(L592*K592,2)</f>
        <v>0</v>
      </c>
      <c r="O592" s="619"/>
      <c r="P592" s="619"/>
      <c r="Q592" s="619"/>
      <c r="R592" s="6"/>
      <c r="T592" s="142"/>
    </row>
    <row r="593" spans="2:20" ht="27" customHeight="1" outlineLevel="1">
      <c r="B593" s="5"/>
      <c r="C593" s="261"/>
      <c r="D593" s="261" t="s">
        <v>64</v>
      </c>
      <c r="E593" s="262">
        <v>713191133</v>
      </c>
      <c r="F593" s="661" t="s">
        <v>1037</v>
      </c>
      <c r="G593" s="662"/>
      <c r="H593" s="662"/>
      <c r="I593" s="663"/>
      <c r="J593" s="174" t="s">
        <v>65</v>
      </c>
      <c r="K593" s="264">
        <f>K586</f>
        <v>36.72</v>
      </c>
      <c r="L593" s="664"/>
      <c r="M593" s="665"/>
      <c r="N593" s="658">
        <f>ROUND(L593*K593,2)</f>
        <v>0</v>
      </c>
      <c r="O593" s="659"/>
      <c r="P593" s="659"/>
      <c r="Q593" s="660"/>
      <c r="R593" s="6"/>
      <c r="T593" s="142"/>
    </row>
    <row r="594" spans="2:20" ht="26.25" customHeight="1" outlineLevel="1">
      <c r="B594" s="5"/>
      <c r="C594" s="267"/>
      <c r="D594" s="267" t="s">
        <v>67</v>
      </c>
      <c r="E594" s="320">
        <v>28329029</v>
      </c>
      <c r="F594" s="651" t="s">
        <v>1032</v>
      </c>
      <c r="G594" s="651"/>
      <c r="H594" s="651"/>
      <c r="I594" s="651"/>
      <c r="J594" s="179" t="s">
        <v>65</v>
      </c>
      <c r="K594" s="268">
        <f>K593*1.05</f>
        <v>38.556</v>
      </c>
      <c r="L594" s="652"/>
      <c r="M594" s="652"/>
      <c r="N594" s="653">
        <f>ROUND(L594*K594,2)</f>
        <v>0</v>
      </c>
      <c r="O594" s="619"/>
      <c r="P594" s="619"/>
      <c r="Q594" s="619"/>
      <c r="R594" s="6"/>
      <c r="T594" s="142"/>
    </row>
    <row r="595" spans="2:21" ht="13.5" outlineLevel="1">
      <c r="B595" s="5"/>
      <c r="C595" s="261"/>
      <c r="D595" s="261" t="s">
        <v>64</v>
      </c>
      <c r="E595" s="262">
        <v>762342511</v>
      </c>
      <c r="F595" s="625" t="s">
        <v>1044</v>
      </c>
      <c r="G595" s="625"/>
      <c r="H595" s="625"/>
      <c r="I595" s="625"/>
      <c r="J595" s="174" t="s">
        <v>70</v>
      </c>
      <c r="K595" s="264">
        <f>SUM(K596)</f>
        <v>21.599999999999998</v>
      </c>
      <c r="L595" s="626"/>
      <c r="M595" s="626"/>
      <c r="N595" s="619">
        <f>ROUND(L595*K595,2)</f>
        <v>0</v>
      </c>
      <c r="O595" s="619"/>
      <c r="P595" s="619"/>
      <c r="Q595" s="619"/>
      <c r="R595" s="6"/>
      <c r="T595" s="199"/>
      <c r="U595" s="4"/>
    </row>
    <row r="596" spans="2:22" s="177" customFormat="1" ht="13.5" outlineLevel="1">
      <c r="B596" s="175"/>
      <c r="E596" s="319" t="s">
        <v>1041</v>
      </c>
      <c r="F596" s="627" t="s">
        <v>1042</v>
      </c>
      <c r="G596" s="628">
        <f>2.4*2</f>
        <v>4.8</v>
      </c>
      <c r="H596" s="628">
        <f>2.4*2</f>
        <v>4.8</v>
      </c>
      <c r="I596" s="628">
        <f>2.4*2</f>
        <v>4.8</v>
      </c>
      <c r="J596" s="176">
        <f>0.04*0.06</f>
        <v>0.0024</v>
      </c>
      <c r="K596" s="266">
        <f>K591</f>
        <v>21.599999999999998</v>
      </c>
      <c r="L596" s="419"/>
      <c r="M596" s="419"/>
      <c r="R596" s="178"/>
      <c r="T596" s="142"/>
      <c r="V596" s="386"/>
    </row>
    <row r="597" spans="2:20" ht="27" customHeight="1" outlineLevel="1">
      <c r="B597" s="5"/>
      <c r="C597" s="261"/>
      <c r="D597" s="261" t="s">
        <v>64</v>
      </c>
      <c r="E597" s="262">
        <v>762342214</v>
      </c>
      <c r="F597" s="661" t="s">
        <v>1034</v>
      </c>
      <c r="G597" s="662"/>
      <c r="H597" s="662"/>
      <c r="I597" s="663"/>
      <c r="J597" s="174" t="s">
        <v>65</v>
      </c>
      <c r="K597" s="264">
        <f>K586</f>
        <v>36.72</v>
      </c>
      <c r="L597" s="664"/>
      <c r="M597" s="665"/>
      <c r="N597" s="658">
        <f>ROUND(L597*K597,2)</f>
        <v>0</v>
      </c>
      <c r="O597" s="659"/>
      <c r="P597" s="659"/>
      <c r="Q597" s="660"/>
      <c r="R597" s="6"/>
      <c r="T597" s="142"/>
    </row>
    <row r="598" spans="2:22" s="177" customFormat="1" ht="13.5" outlineLevel="1">
      <c r="B598" s="175"/>
      <c r="E598" s="319" t="s">
        <v>1041</v>
      </c>
      <c r="F598" s="627" t="s">
        <v>165</v>
      </c>
      <c r="G598" s="628"/>
      <c r="H598" s="628"/>
      <c r="I598" s="628"/>
      <c r="J598" s="176">
        <f>0.04*0.06</f>
        <v>0.0024</v>
      </c>
      <c r="K598" s="266">
        <f>K586</f>
        <v>36.72</v>
      </c>
      <c r="L598" s="419"/>
      <c r="M598" s="419"/>
      <c r="R598" s="178"/>
      <c r="T598" s="142"/>
      <c r="V598" s="386"/>
    </row>
    <row r="599" spans="2:20" ht="13.5" outlineLevel="1">
      <c r="B599" s="5"/>
      <c r="C599" s="267"/>
      <c r="D599" s="267" t="s">
        <v>67</v>
      </c>
      <c r="E599" s="320">
        <v>60514114</v>
      </c>
      <c r="F599" s="651" t="s">
        <v>1031</v>
      </c>
      <c r="G599" s="651"/>
      <c r="H599" s="651"/>
      <c r="I599" s="651"/>
      <c r="J599" s="179" t="s">
        <v>66</v>
      </c>
      <c r="K599" s="268">
        <f>K598*J598/0.36+K596*J596</f>
        <v>0.29663999999999996</v>
      </c>
      <c r="L599" s="652"/>
      <c r="M599" s="652"/>
      <c r="N599" s="653">
        <f>ROUND(L599*K599,2)</f>
        <v>0</v>
      </c>
      <c r="O599" s="619"/>
      <c r="P599" s="619"/>
      <c r="Q599" s="619"/>
      <c r="R599" s="6"/>
      <c r="T599" s="142"/>
    </row>
    <row r="600" spans="2:21" ht="13.5" outlineLevel="1">
      <c r="B600" s="5"/>
      <c r="C600" s="261"/>
      <c r="D600" s="261" t="s">
        <v>64</v>
      </c>
      <c r="E600" s="262">
        <v>762395000</v>
      </c>
      <c r="F600" s="625" t="s">
        <v>256</v>
      </c>
      <c r="G600" s="625"/>
      <c r="H600" s="625"/>
      <c r="I600" s="625"/>
      <c r="J600" s="174" t="s">
        <v>66</v>
      </c>
      <c r="K600" s="264">
        <f>K589+K592+K599</f>
        <v>0.9878399999999998</v>
      </c>
      <c r="L600" s="626"/>
      <c r="M600" s="626"/>
      <c r="N600" s="619">
        <f>ROUND(L600*K600,2)</f>
        <v>0</v>
      </c>
      <c r="O600" s="619"/>
      <c r="P600" s="619"/>
      <c r="Q600" s="619"/>
      <c r="R600" s="6"/>
      <c r="T600" s="199"/>
      <c r="U600" s="4"/>
    </row>
    <row r="601" spans="2:28" s="324" customFormat="1" ht="13.5" outlineLevel="1">
      <c r="B601" s="322"/>
      <c r="C601" s="327"/>
      <c r="D601" s="327" t="s">
        <v>1052</v>
      </c>
      <c r="E601" s="648" t="s">
        <v>2025</v>
      </c>
      <c r="F601" s="649"/>
      <c r="G601" s="649"/>
      <c r="H601" s="649"/>
      <c r="I601" s="650"/>
      <c r="J601" s="328"/>
      <c r="K601" s="329">
        <f>2.75*1.25+2.22*2.56</f>
        <v>9.1207</v>
      </c>
      <c r="L601" s="654"/>
      <c r="M601" s="654"/>
      <c r="N601" s="655"/>
      <c r="O601" s="655"/>
      <c r="P601" s="655"/>
      <c r="Q601" s="655"/>
      <c r="R601" s="323"/>
      <c r="T601" s="325"/>
      <c r="U601" s="326"/>
      <c r="V601" s="387"/>
      <c r="W601" s="326"/>
      <c r="X601" s="326"/>
      <c r="Y601" s="326"/>
      <c r="Z601" s="326"/>
      <c r="AA601" s="326"/>
      <c r="AB601" s="326"/>
    </row>
    <row r="602" spans="2:29" s="410" customFormat="1" ht="13.5" outlineLevel="1">
      <c r="B602" s="409"/>
      <c r="E602" s="414" t="s">
        <v>2326</v>
      </c>
      <c r="F602" s="646" t="s">
        <v>2324</v>
      </c>
      <c r="G602" s="647">
        <f aca="true" t="shared" si="26" ref="G602:I602">2.75*1.25+2.22*2.56</f>
        <v>9.1207</v>
      </c>
      <c r="H602" s="647">
        <f t="shared" si="26"/>
        <v>9.1207</v>
      </c>
      <c r="I602" s="647">
        <f t="shared" si="26"/>
        <v>9.1207</v>
      </c>
      <c r="J602" s="415"/>
      <c r="K602" s="416">
        <f>2.75*1.25+2.22*2.56</f>
        <v>9.1207</v>
      </c>
      <c r="L602" s="420"/>
      <c r="M602" s="420"/>
      <c r="R602" s="411"/>
      <c r="T602" s="412"/>
      <c r="AC602" s="413"/>
    </row>
    <row r="603" spans="2:20" ht="27" customHeight="1" outlineLevel="1">
      <c r="B603" s="5"/>
      <c r="C603" s="261"/>
      <c r="D603" s="261" t="s">
        <v>64</v>
      </c>
      <c r="E603" s="262">
        <v>762341027</v>
      </c>
      <c r="F603" s="661" t="s">
        <v>2016</v>
      </c>
      <c r="G603" s="662"/>
      <c r="H603" s="662"/>
      <c r="I603" s="663"/>
      <c r="J603" s="174" t="s">
        <v>65</v>
      </c>
      <c r="K603" s="264">
        <f>K601</f>
        <v>9.1207</v>
      </c>
      <c r="L603" s="664"/>
      <c r="M603" s="665"/>
      <c r="N603" s="658">
        <f>ROUND(L603*K603,2)</f>
        <v>0</v>
      </c>
      <c r="O603" s="659"/>
      <c r="P603" s="659"/>
      <c r="Q603" s="660"/>
      <c r="R603" s="6"/>
      <c r="T603" s="142"/>
    </row>
    <row r="604" spans="2:20" ht="27" customHeight="1" outlineLevel="1">
      <c r="B604" s="5"/>
      <c r="C604" s="261"/>
      <c r="D604" s="261" t="s">
        <v>64</v>
      </c>
      <c r="E604" s="262">
        <v>441171111</v>
      </c>
      <c r="F604" s="661" t="s">
        <v>2018</v>
      </c>
      <c r="G604" s="662"/>
      <c r="H604" s="662"/>
      <c r="I604" s="663"/>
      <c r="J604" s="174" t="s">
        <v>68</v>
      </c>
      <c r="K604" s="264">
        <f>SUM(K605)</f>
        <v>7.5</v>
      </c>
      <c r="L604" s="664"/>
      <c r="M604" s="665"/>
      <c r="N604" s="658">
        <f>ROUND(L604*K604,2)</f>
        <v>0</v>
      </c>
      <c r="O604" s="659"/>
      <c r="P604" s="659"/>
      <c r="Q604" s="660"/>
      <c r="R604" s="6"/>
      <c r="T604" s="142"/>
    </row>
    <row r="605" spans="2:22" s="177" customFormat="1" ht="13.5" outlineLevel="1">
      <c r="B605" s="175"/>
      <c r="E605" s="319"/>
      <c r="F605" s="627" t="s">
        <v>165</v>
      </c>
      <c r="G605" s="628">
        <f>5*(2.4/2)*2</f>
        <v>12</v>
      </c>
      <c r="H605" s="628">
        <f>5*(2.4/2)*2</f>
        <v>12</v>
      </c>
      <c r="I605" s="628">
        <f>5*(2.4/2)*2</f>
        <v>12</v>
      </c>
      <c r="J605" s="176">
        <f>13.8/1000</f>
        <v>0.013800000000000002</v>
      </c>
      <c r="K605" s="266">
        <f>1.5*5</f>
        <v>7.5</v>
      </c>
      <c r="L605" s="419"/>
      <c r="M605" s="419"/>
      <c r="R605" s="178"/>
      <c r="T605" s="142"/>
      <c r="V605" s="386"/>
    </row>
    <row r="606" spans="2:20" ht="13.5" outlineLevel="1">
      <c r="B606" s="5"/>
      <c r="C606" s="267"/>
      <c r="D606" s="267" t="s">
        <v>67</v>
      </c>
      <c r="E606" s="320">
        <v>14550319</v>
      </c>
      <c r="F606" s="651" t="s">
        <v>2019</v>
      </c>
      <c r="G606" s="651"/>
      <c r="H606" s="651"/>
      <c r="I606" s="651"/>
      <c r="J606" s="179" t="s">
        <v>68</v>
      </c>
      <c r="K606" s="268">
        <f>K604*J605</f>
        <v>0.10350000000000001</v>
      </c>
      <c r="L606" s="652"/>
      <c r="M606" s="652"/>
      <c r="N606" s="653">
        <f>ROUND(L606*K606,2)</f>
        <v>0</v>
      </c>
      <c r="O606" s="619"/>
      <c r="P606" s="619"/>
      <c r="Q606" s="619"/>
      <c r="R606" s="6"/>
      <c r="T606" s="142"/>
    </row>
    <row r="607" spans="2:21" ht="13.5" outlineLevel="1">
      <c r="B607" s="5"/>
      <c r="C607" s="261"/>
      <c r="D607" s="261" t="s">
        <v>64</v>
      </c>
      <c r="E607" s="262">
        <v>762395000</v>
      </c>
      <c r="F607" s="625" t="s">
        <v>256</v>
      </c>
      <c r="G607" s="625"/>
      <c r="H607" s="625"/>
      <c r="I607" s="625"/>
      <c r="J607" s="174" t="s">
        <v>66</v>
      </c>
      <c r="K607" s="264">
        <f>K606</f>
        <v>0.10350000000000001</v>
      </c>
      <c r="L607" s="626"/>
      <c r="M607" s="626"/>
      <c r="N607" s="619">
        <f>ROUND(L607*K607,2)</f>
        <v>0</v>
      </c>
      <c r="O607" s="619"/>
      <c r="P607" s="619"/>
      <c r="Q607" s="619"/>
      <c r="R607" s="6"/>
      <c r="T607" s="199"/>
      <c r="U607" s="4"/>
    </row>
    <row r="608" spans="2:28" s="324" customFormat="1" ht="13.5" outlineLevel="1">
      <c r="B608" s="322"/>
      <c r="C608" s="327"/>
      <c r="D608" s="327" t="s">
        <v>2024</v>
      </c>
      <c r="E608" s="648" t="s">
        <v>2026</v>
      </c>
      <c r="F608" s="649"/>
      <c r="G608" s="649"/>
      <c r="H608" s="649"/>
      <c r="I608" s="650"/>
      <c r="J608" s="328"/>
      <c r="K608" s="329">
        <f>2.75*2.4</f>
        <v>6.6</v>
      </c>
      <c r="L608" s="654"/>
      <c r="M608" s="654"/>
      <c r="N608" s="655"/>
      <c r="O608" s="655"/>
      <c r="P608" s="655"/>
      <c r="Q608" s="655"/>
      <c r="R608" s="323"/>
      <c r="T608" s="325"/>
      <c r="U608" s="326"/>
      <c r="V608" s="387"/>
      <c r="W608" s="326"/>
      <c r="X608" s="326"/>
      <c r="Y608" s="326"/>
      <c r="Z608" s="326"/>
      <c r="AA608" s="326"/>
      <c r="AB608" s="326"/>
    </row>
    <row r="609" spans="2:29" s="410" customFormat="1" ht="13.5" outlineLevel="1">
      <c r="B609" s="409"/>
      <c r="E609" s="414" t="s">
        <v>2327</v>
      </c>
      <c r="F609" s="646" t="s">
        <v>2022</v>
      </c>
      <c r="G609" s="647">
        <f aca="true" t="shared" si="27" ref="G609:I609">2.75*2.4</f>
        <v>6.6</v>
      </c>
      <c r="H609" s="647">
        <f t="shared" si="27"/>
        <v>6.6</v>
      </c>
      <c r="I609" s="647">
        <f t="shared" si="27"/>
        <v>6.6</v>
      </c>
      <c r="J609" s="415"/>
      <c r="K609" s="416">
        <f>2.75*2.4</f>
        <v>6.6</v>
      </c>
      <c r="L609" s="420"/>
      <c r="M609" s="420"/>
      <c r="R609" s="411"/>
      <c r="T609" s="412"/>
      <c r="AC609" s="413"/>
    </row>
    <row r="610" spans="2:20" ht="27" customHeight="1" outlineLevel="1">
      <c r="B610" s="5"/>
      <c r="C610" s="261"/>
      <c r="D610" s="261" t="s">
        <v>64</v>
      </c>
      <c r="E610" s="262">
        <v>762332132</v>
      </c>
      <c r="F610" s="661" t="s">
        <v>485</v>
      </c>
      <c r="G610" s="662"/>
      <c r="H610" s="662"/>
      <c r="I610" s="663"/>
      <c r="J610" s="174" t="s">
        <v>70</v>
      </c>
      <c r="K610" s="264">
        <f>SUM(K611:K611)</f>
        <v>10.559999999999999</v>
      </c>
      <c r="L610" s="664"/>
      <c r="M610" s="665"/>
      <c r="N610" s="658">
        <f>ROUND(L610*K610,2)</f>
        <v>0</v>
      </c>
      <c r="O610" s="659"/>
      <c r="P610" s="659"/>
      <c r="Q610" s="660"/>
      <c r="R610" s="6"/>
      <c r="T610" s="142"/>
    </row>
    <row r="611" spans="2:22" s="177" customFormat="1" ht="13.5" outlineLevel="1">
      <c r="B611" s="175"/>
      <c r="E611" s="319"/>
      <c r="F611" s="627"/>
      <c r="G611" s="628"/>
      <c r="H611" s="628"/>
      <c r="I611" s="628"/>
      <c r="J611" s="176">
        <f>0.08*0.18</f>
        <v>0.0144</v>
      </c>
      <c r="K611" s="266">
        <f>K608/0.625</f>
        <v>10.559999999999999</v>
      </c>
      <c r="L611" s="419"/>
      <c r="M611" s="419"/>
      <c r="R611" s="178"/>
      <c r="T611" s="142"/>
      <c r="V611" s="386"/>
    </row>
    <row r="612" spans="2:20" ht="13.5" outlineLevel="1">
      <c r="B612" s="5"/>
      <c r="C612" s="267"/>
      <c r="D612" s="267" t="s">
        <v>67</v>
      </c>
      <c r="E612" s="320">
        <v>60512130</v>
      </c>
      <c r="F612" s="651" t="s">
        <v>1023</v>
      </c>
      <c r="G612" s="651"/>
      <c r="H612" s="651"/>
      <c r="I612" s="651"/>
      <c r="J612" s="179" t="s">
        <v>66</v>
      </c>
      <c r="K612" s="268">
        <f>K611*J611</f>
        <v>0.15206399999999998</v>
      </c>
      <c r="L612" s="652"/>
      <c r="M612" s="652"/>
      <c r="N612" s="653">
        <f>ROUND(L612*K612,2)</f>
        <v>0</v>
      </c>
      <c r="O612" s="619"/>
      <c r="P612" s="619"/>
      <c r="Q612" s="619"/>
      <c r="R612" s="6"/>
      <c r="T612" s="142"/>
    </row>
    <row r="613" spans="2:20" ht="27" customHeight="1" outlineLevel="1">
      <c r="B613" s="5"/>
      <c r="C613" s="261"/>
      <c r="D613" s="261" t="s">
        <v>64</v>
      </c>
      <c r="E613" s="262">
        <v>713191133</v>
      </c>
      <c r="F613" s="661" t="s">
        <v>1037</v>
      </c>
      <c r="G613" s="662"/>
      <c r="H613" s="662"/>
      <c r="I613" s="663"/>
      <c r="J613" s="174" t="s">
        <v>65</v>
      </c>
      <c r="K613" s="264">
        <f>K608</f>
        <v>6.6</v>
      </c>
      <c r="L613" s="664"/>
      <c r="M613" s="665"/>
      <c r="N613" s="658">
        <f>ROUND(L613*K613,2)</f>
        <v>0</v>
      </c>
      <c r="O613" s="659"/>
      <c r="P613" s="659"/>
      <c r="Q613" s="660"/>
      <c r="R613" s="6"/>
      <c r="T613" s="142"/>
    </row>
    <row r="614" spans="2:20" ht="26.25" customHeight="1" outlineLevel="1">
      <c r="B614" s="5"/>
      <c r="C614" s="267"/>
      <c r="D614" s="267" t="s">
        <v>67</v>
      </c>
      <c r="E614" s="320">
        <v>28329029</v>
      </c>
      <c r="F614" s="651" t="s">
        <v>1032</v>
      </c>
      <c r="G614" s="651"/>
      <c r="H614" s="651"/>
      <c r="I614" s="651"/>
      <c r="J614" s="179" t="s">
        <v>65</v>
      </c>
      <c r="K614" s="268">
        <f>K613*1.05</f>
        <v>6.93</v>
      </c>
      <c r="L614" s="652"/>
      <c r="M614" s="652"/>
      <c r="N614" s="653">
        <f>ROUND(L614*K614,2)</f>
        <v>0</v>
      </c>
      <c r="O614" s="619"/>
      <c r="P614" s="619"/>
      <c r="Q614" s="619"/>
      <c r="R614" s="6"/>
      <c r="T614" s="142"/>
    </row>
    <row r="615" spans="2:20" ht="27" customHeight="1" outlineLevel="1">
      <c r="B615" s="5"/>
      <c r="C615" s="261"/>
      <c r="D615" s="261" t="s">
        <v>64</v>
      </c>
      <c r="E615" s="262">
        <v>762342214</v>
      </c>
      <c r="F615" s="661" t="s">
        <v>1034</v>
      </c>
      <c r="G615" s="662"/>
      <c r="H615" s="662"/>
      <c r="I615" s="663"/>
      <c r="J615" s="174" t="s">
        <v>65</v>
      </c>
      <c r="K615" s="264">
        <f>K608</f>
        <v>6.6</v>
      </c>
      <c r="L615" s="664"/>
      <c r="M615" s="665"/>
      <c r="N615" s="658">
        <f>ROUND(L615*K615,2)</f>
        <v>0</v>
      </c>
      <c r="O615" s="659"/>
      <c r="P615" s="659"/>
      <c r="Q615" s="660"/>
      <c r="R615" s="6"/>
      <c r="T615" s="142"/>
    </row>
    <row r="616" spans="2:22" s="177" customFormat="1" ht="13.5" outlineLevel="1">
      <c r="B616" s="175"/>
      <c r="E616" s="319" t="s">
        <v>1041</v>
      </c>
      <c r="F616" s="627" t="s">
        <v>165</v>
      </c>
      <c r="G616" s="628"/>
      <c r="H616" s="628"/>
      <c r="I616" s="628"/>
      <c r="J616" s="176">
        <f>0.04*0.06</f>
        <v>0.0024</v>
      </c>
      <c r="K616" s="266">
        <f>K608</f>
        <v>6.6</v>
      </c>
      <c r="L616" s="419"/>
      <c r="M616" s="419"/>
      <c r="R616" s="178"/>
      <c r="T616" s="142"/>
      <c r="V616" s="386"/>
    </row>
    <row r="617" spans="2:20" ht="13.5" outlineLevel="1">
      <c r="B617" s="5"/>
      <c r="C617" s="267"/>
      <c r="D617" s="267" t="s">
        <v>67</v>
      </c>
      <c r="E617" s="320">
        <v>60514114</v>
      </c>
      <c r="F617" s="651" t="s">
        <v>1031</v>
      </c>
      <c r="G617" s="651"/>
      <c r="H617" s="651"/>
      <c r="I617" s="651"/>
      <c r="J617" s="179" t="s">
        <v>66</v>
      </c>
      <c r="K617" s="268">
        <f>K616*J616/0.625</f>
        <v>0.025343999999999995</v>
      </c>
      <c r="L617" s="652"/>
      <c r="M617" s="652"/>
      <c r="N617" s="653">
        <f>ROUND(L617*K617,2)</f>
        <v>0</v>
      </c>
      <c r="O617" s="619"/>
      <c r="P617" s="619"/>
      <c r="Q617" s="619"/>
      <c r="R617" s="6"/>
      <c r="T617" s="142"/>
    </row>
    <row r="618" spans="2:21" ht="13.5" outlineLevel="1">
      <c r="B618" s="5"/>
      <c r="C618" s="261"/>
      <c r="D618" s="261" t="s">
        <v>64</v>
      </c>
      <c r="E618" s="262">
        <v>762395000</v>
      </c>
      <c r="F618" s="625" t="s">
        <v>256</v>
      </c>
      <c r="G618" s="625"/>
      <c r="H618" s="625"/>
      <c r="I618" s="625"/>
      <c r="J618" s="174" t="s">
        <v>66</v>
      </c>
      <c r="K618" s="264">
        <f>K612+K617</f>
        <v>0.17740799999999998</v>
      </c>
      <c r="L618" s="626"/>
      <c r="M618" s="626"/>
      <c r="N618" s="619">
        <f>ROUND(L618*K618,2)</f>
        <v>0</v>
      </c>
      <c r="O618" s="619"/>
      <c r="P618" s="619"/>
      <c r="Q618" s="619"/>
      <c r="R618" s="6"/>
      <c r="T618" s="199"/>
      <c r="U618" s="4"/>
    </row>
    <row r="619" spans="2:28" s="324" customFormat="1" ht="11.25" customHeight="1" outlineLevel="1">
      <c r="B619" s="322"/>
      <c r="C619" s="327"/>
      <c r="D619" s="327" t="s">
        <v>1055</v>
      </c>
      <c r="E619" s="648" t="s">
        <v>1056</v>
      </c>
      <c r="F619" s="649"/>
      <c r="G619" s="649"/>
      <c r="H619" s="649"/>
      <c r="I619" s="650"/>
      <c r="J619" s="328"/>
      <c r="K619" s="329">
        <f>16.84+14.96+9.65</f>
        <v>41.45</v>
      </c>
      <c r="L619" s="654"/>
      <c r="M619" s="654"/>
      <c r="N619" s="655"/>
      <c r="O619" s="655"/>
      <c r="P619" s="655"/>
      <c r="Q619" s="655"/>
      <c r="R619" s="323"/>
      <c r="T619" s="325"/>
      <c r="U619" s="326"/>
      <c r="V619" s="387"/>
      <c r="W619" s="326"/>
      <c r="X619" s="326"/>
      <c r="Y619" s="326"/>
      <c r="Z619" s="326"/>
      <c r="AA619" s="326"/>
      <c r="AB619" s="326"/>
    </row>
    <row r="620" spans="2:29" s="410" customFormat="1" ht="13.5" outlineLevel="1">
      <c r="B620" s="409"/>
      <c r="E620" s="414" t="s">
        <v>2328</v>
      </c>
      <c r="F620" s="646" t="s">
        <v>2325</v>
      </c>
      <c r="G620" s="647">
        <f aca="true" t="shared" si="28" ref="G620:I620">16.84+14.96+9.65</f>
        <v>41.45</v>
      </c>
      <c r="H620" s="647">
        <f t="shared" si="28"/>
        <v>41.45</v>
      </c>
      <c r="I620" s="647">
        <f t="shared" si="28"/>
        <v>41.45</v>
      </c>
      <c r="J620" s="415"/>
      <c r="K620" s="416">
        <f>16.84+14.96+9.65</f>
        <v>41.45</v>
      </c>
      <c r="L620" s="420"/>
      <c r="M620" s="420"/>
      <c r="R620" s="411"/>
      <c r="T620" s="412"/>
      <c r="AC620" s="413"/>
    </row>
    <row r="621" spans="2:20" ht="27" customHeight="1" outlineLevel="1">
      <c r="B621" s="5"/>
      <c r="C621" s="261"/>
      <c r="D621" s="261" t="s">
        <v>64</v>
      </c>
      <c r="E621" s="262">
        <v>762511282</v>
      </c>
      <c r="F621" s="661" t="s">
        <v>1053</v>
      </c>
      <c r="G621" s="662"/>
      <c r="H621" s="662"/>
      <c r="I621" s="663"/>
      <c r="J621" s="174" t="s">
        <v>65</v>
      </c>
      <c r="K621" s="264">
        <f>K619</f>
        <v>41.45</v>
      </c>
      <c r="L621" s="664"/>
      <c r="M621" s="665"/>
      <c r="N621" s="658">
        <f>ROUND(L621*K621,2)</f>
        <v>0</v>
      </c>
      <c r="O621" s="659"/>
      <c r="P621" s="659"/>
      <c r="Q621" s="660"/>
      <c r="R621" s="6"/>
      <c r="T621" s="142"/>
    </row>
    <row r="622" spans="2:20" ht="13.5" outlineLevel="1">
      <c r="B622" s="5"/>
      <c r="C622" s="261"/>
      <c r="D622" s="261" t="s">
        <v>64</v>
      </c>
      <c r="E622" s="262">
        <v>762595001</v>
      </c>
      <c r="F622" s="661" t="s">
        <v>1054</v>
      </c>
      <c r="G622" s="662"/>
      <c r="H622" s="662"/>
      <c r="I622" s="663"/>
      <c r="J622" s="174" t="s">
        <v>65</v>
      </c>
      <c r="K622" s="264">
        <f>K619</f>
        <v>41.45</v>
      </c>
      <c r="L622" s="664"/>
      <c r="M622" s="665"/>
      <c r="N622" s="658">
        <f>ROUND(L622*K622,2)</f>
        <v>0</v>
      </c>
      <c r="O622" s="659"/>
      <c r="P622" s="659"/>
      <c r="Q622" s="660"/>
      <c r="R622" s="6"/>
      <c r="T622" s="142"/>
    </row>
    <row r="623" spans="2:28" s="324" customFormat="1" ht="11.25" customHeight="1" outlineLevel="1">
      <c r="B623" s="322"/>
      <c r="C623" s="327"/>
      <c r="D623" s="327"/>
      <c r="E623" s="648" t="s">
        <v>1192</v>
      </c>
      <c r="F623" s="649"/>
      <c r="G623" s="649"/>
      <c r="H623" s="649"/>
      <c r="I623" s="650"/>
      <c r="J623" s="328"/>
      <c r="K623" s="329"/>
      <c r="L623" s="654"/>
      <c r="M623" s="654"/>
      <c r="N623" s="655"/>
      <c r="O623" s="655"/>
      <c r="P623" s="655"/>
      <c r="Q623" s="655"/>
      <c r="R623" s="323"/>
      <c r="T623" s="325"/>
      <c r="U623" s="326"/>
      <c r="V623" s="387"/>
      <c r="W623" s="326"/>
      <c r="X623" s="326"/>
      <c r="Y623" s="326"/>
      <c r="Z623" s="326"/>
      <c r="AA623" s="326"/>
      <c r="AB623" s="326"/>
    </row>
    <row r="624" spans="2:20" ht="27" customHeight="1" outlineLevel="1">
      <c r="B624" s="5"/>
      <c r="C624" s="261"/>
      <c r="D624" s="261" t="s">
        <v>64</v>
      </c>
      <c r="E624" s="262">
        <v>762332134</v>
      </c>
      <c r="F624" s="661" t="s">
        <v>1193</v>
      </c>
      <c r="G624" s="662"/>
      <c r="H624" s="662"/>
      <c r="I624" s="663"/>
      <c r="J624" s="174" t="s">
        <v>70</v>
      </c>
      <c r="K624" s="264">
        <f>SUM(K625)</f>
        <v>70.2</v>
      </c>
      <c r="L624" s="664"/>
      <c r="M624" s="665"/>
      <c r="N624" s="658">
        <f>ROUND(L624*K624,2)</f>
        <v>0</v>
      </c>
      <c r="O624" s="659"/>
      <c r="P624" s="659"/>
      <c r="Q624" s="660"/>
      <c r="R624" s="6"/>
      <c r="T624" s="142"/>
    </row>
    <row r="625" spans="2:22" s="177" customFormat="1" ht="13.5" outlineLevel="1">
      <c r="B625" s="175"/>
      <c r="E625" s="319"/>
      <c r="F625" s="627" t="s">
        <v>1194</v>
      </c>
      <c r="G625" s="628">
        <f>5*(2.4/2)*2</f>
        <v>12</v>
      </c>
      <c r="H625" s="628">
        <f>5*(2.4/2)*2</f>
        <v>12</v>
      </c>
      <c r="I625" s="628">
        <f>5*(2.4/2)*2</f>
        <v>12</v>
      </c>
      <c r="J625" s="176">
        <f>0.2*0.2</f>
        <v>0.04000000000000001</v>
      </c>
      <c r="K625" s="266">
        <f>5.4*13</f>
        <v>70.2</v>
      </c>
      <c r="L625" s="419"/>
      <c r="M625" s="419"/>
      <c r="R625" s="178"/>
      <c r="T625" s="142"/>
      <c r="V625" s="386"/>
    </row>
    <row r="626" spans="2:20" ht="13.5" outlineLevel="1">
      <c r="B626" s="5"/>
      <c r="C626" s="267"/>
      <c r="D626" s="267" t="s">
        <v>67</v>
      </c>
      <c r="E626" s="320">
        <v>60512140</v>
      </c>
      <c r="F626" s="651" t="s">
        <v>1195</v>
      </c>
      <c r="G626" s="651"/>
      <c r="H626" s="651"/>
      <c r="I626" s="651"/>
      <c r="J626" s="179" t="s">
        <v>66</v>
      </c>
      <c r="K626" s="268">
        <f>K625*J625</f>
        <v>2.8080000000000007</v>
      </c>
      <c r="L626" s="652"/>
      <c r="M626" s="652"/>
      <c r="N626" s="653">
        <f>ROUND(L626*K626,2)</f>
        <v>0</v>
      </c>
      <c r="O626" s="619"/>
      <c r="P626" s="619"/>
      <c r="Q626" s="619"/>
      <c r="R626" s="6"/>
      <c r="T626" s="142"/>
    </row>
    <row r="627" spans="2:21" ht="13.5" outlineLevel="1">
      <c r="B627" s="5"/>
      <c r="C627" s="261"/>
      <c r="D627" s="261" t="s">
        <v>64</v>
      </c>
      <c r="E627" s="262">
        <v>762395000</v>
      </c>
      <c r="F627" s="625" t="s">
        <v>256</v>
      </c>
      <c r="G627" s="625"/>
      <c r="H627" s="625"/>
      <c r="I627" s="625"/>
      <c r="J627" s="174" t="s">
        <v>66</v>
      </c>
      <c r="K627" s="264">
        <f>K626</f>
        <v>2.8080000000000007</v>
      </c>
      <c r="L627" s="626"/>
      <c r="M627" s="626"/>
      <c r="N627" s="619">
        <f>ROUND(L627*K627,2)</f>
        <v>0</v>
      </c>
      <c r="O627" s="619"/>
      <c r="P627" s="619"/>
      <c r="Q627" s="619"/>
      <c r="R627" s="6"/>
      <c r="T627" s="199"/>
      <c r="U627" s="4"/>
    </row>
    <row r="628" spans="2:20" ht="13.5" outlineLevel="1">
      <c r="B628" s="5"/>
      <c r="C628" s="261"/>
      <c r="D628" s="261" t="s">
        <v>64</v>
      </c>
      <c r="E628" s="262">
        <v>998762202</v>
      </c>
      <c r="F628" s="625" t="s">
        <v>1124</v>
      </c>
      <c r="G628" s="625"/>
      <c r="H628" s="625"/>
      <c r="I628" s="625"/>
      <c r="J628" s="174" t="s">
        <v>72</v>
      </c>
      <c r="K628" s="180">
        <f>SUM(N550:Q627)</f>
        <v>0</v>
      </c>
      <c r="L628" s="666"/>
      <c r="M628" s="666"/>
      <c r="N628" s="619">
        <f>ROUND(L628*K628,2)</f>
        <v>0</v>
      </c>
      <c r="O628" s="619"/>
      <c r="P628" s="619"/>
      <c r="Q628" s="619"/>
      <c r="R628" s="6"/>
      <c r="T628" s="142"/>
    </row>
    <row r="629" spans="2:22" s="143" customFormat="1" ht="12.75">
      <c r="B629" s="139"/>
      <c r="C629" s="140"/>
      <c r="D629" s="140" t="s">
        <v>54</v>
      </c>
      <c r="E629" s="140"/>
      <c r="F629" s="140"/>
      <c r="G629" s="140"/>
      <c r="H629" s="140"/>
      <c r="I629" s="140"/>
      <c r="J629" s="172"/>
      <c r="K629" s="140"/>
      <c r="L629" s="186"/>
      <c r="M629" s="186"/>
      <c r="N629" s="633">
        <f>SUM(N630:Q668)</f>
        <v>0</v>
      </c>
      <c r="O629" s="633"/>
      <c r="P629" s="633"/>
      <c r="Q629" s="633"/>
      <c r="R629" s="141"/>
      <c r="T629" s="142">
        <f>SUM(N629:Q668)/2</f>
        <v>0</v>
      </c>
      <c r="U629" s="177"/>
      <c r="V629" s="384"/>
    </row>
    <row r="630" spans="2:20" ht="13.5" outlineLevel="1">
      <c r="B630" s="5"/>
      <c r="C630" s="261"/>
      <c r="D630" s="261" t="s">
        <v>64</v>
      </c>
      <c r="E630" s="262" t="s">
        <v>2033</v>
      </c>
      <c r="F630" s="625" t="s">
        <v>2034</v>
      </c>
      <c r="G630" s="625"/>
      <c r="H630" s="625"/>
      <c r="I630" s="625"/>
      <c r="J630" s="174" t="s">
        <v>65</v>
      </c>
      <c r="K630" s="264">
        <f>SUM(K631:K631)</f>
        <v>13.543200000000002</v>
      </c>
      <c r="L630" s="626"/>
      <c r="M630" s="626"/>
      <c r="N630" s="619">
        <f>ROUND(L630*K630,2)</f>
        <v>0</v>
      </c>
      <c r="O630" s="619"/>
      <c r="P630" s="619"/>
      <c r="Q630" s="619"/>
      <c r="R630" s="6"/>
      <c r="T630" s="142"/>
    </row>
    <row r="631" spans="2:22" s="177" customFormat="1" ht="13.5" outlineLevel="1">
      <c r="B631" s="175"/>
      <c r="E631" s="319"/>
      <c r="F631" s="627" t="s">
        <v>2035</v>
      </c>
      <c r="G631" s="628">
        <f aca="true" t="shared" si="29" ref="G631:I633">3.83*2.76+15.1+11.6+9.56*2.9-(0.85*2.1+0.85*1.97+0.8*1.97+1.2*1.97)</f>
        <v>57.595299999999995</v>
      </c>
      <c r="H631" s="628">
        <f t="shared" si="29"/>
        <v>57.595299999999995</v>
      </c>
      <c r="I631" s="628">
        <f t="shared" si="29"/>
        <v>57.595299999999995</v>
      </c>
      <c r="J631" s="176"/>
      <c r="K631" s="266">
        <f>(2.685*2+0.9)*2.16</f>
        <v>13.543200000000002</v>
      </c>
      <c r="L631" s="419"/>
      <c r="M631" s="419"/>
      <c r="R631" s="178"/>
      <c r="T631" s="142"/>
      <c r="V631" s="386"/>
    </row>
    <row r="632" spans="2:20" ht="13.5" outlineLevel="1">
      <c r="B632" s="5"/>
      <c r="C632" s="261"/>
      <c r="D632" s="261" t="s">
        <v>64</v>
      </c>
      <c r="E632" s="262" t="s">
        <v>437</v>
      </c>
      <c r="F632" s="625" t="s">
        <v>438</v>
      </c>
      <c r="G632" s="625"/>
      <c r="H632" s="625"/>
      <c r="I632" s="625"/>
      <c r="J632" s="174" t="s">
        <v>65</v>
      </c>
      <c r="K632" s="264">
        <f>SUM(K633:K633)</f>
        <v>63.6673</v>
      </c>
      <c r="L632" s="626"/>
      <c r="M632" s="626"/>
      <c r="N632" s="619">
        <f>ROUND(L632*K632,2)</f>
        <v>0</v>
      </c>
      <c r="O632" s="619"/>
      <c r="P632" s="619"/>
      <c r="Q632" s="619"/>
      <c r="R632" s="6"/>
      <c r="T632" s="142"/>
    </row>
    <row r="633" spans="2:22" s="177" customFormat="1" ht="13.5" outlineLevel="1">
      <c r="B633" s="175"/>
      <c r="E633" s="319" t="s">
        <v>1125</v>
      </c>
      <c r="F633" s="627" t="s">
        <v>2031</v>
      </c>
      <c r="G633" s="628">
        <f t="shared" si="29"/>
        <v>57.595299999999995</v>
      </c>
      <c r="H633" s="628">
        <f t="shared" si="29"/>
        <v>57.595299999999995</v>
      </c>
      <c r="I633" s="628">
        <f t="shared" si="29"/>
        <v>57.595299999999995</v>
      </c>
      <c r="J633" s="176"/>
      <c r="K633" s="266">
        <f>(3.83+1.1*2)*2.76+15.1+11.6+9.56*2.9-(0.85*2.1+0.85*1.97+0.8*1.97+1.2*1.97)</f>
        <v>63.6673</v>
      </c>
      <c r="L633" s="419"/>
      <c r="M633" s="419"/>
      <c r="R633" s="178"/>
      <c r="T633" s="142"/>
      <c r="V633" s="386"/>
    </row>
    <row r="634" spans="2:21" ht="27" customHeight="1" outlineLevel="1">
      <c r="B634" s="5"/>
      <c r="C634" s="261"/>
      <c r="D634" s="261" t="s">
        <v>64</v>
      </c>
      <c r="E634" s="262" t="s">
        <v>1136</v>
      </c>
      <c r="F634" s="625" t="s">
        <v>1137</v>
      </c>
      <c r="G634" s="625"/>
      <c r="H634" s="625"/>
      <c r="I634" s="625"/>
      <c r="J634" s="174" t="s">
        <v>65</v>
      </c>
      <c r="K634" s="264">
        <f>SUM(K635:K635)</f>
        <v>8.52</v>
      </c>
      <c r="L634" s="626"/>
      <c r="M634" s="626"/>
      <c r="N634" s="619">
        <f>ROUND(L634*K634,2)</f>
        <v>0</v>
      </c>
      <c r="O634" s="619"/>
      <c r="P634" s="619"/>
      <c r="Q634" s="619"/>
      <c r="R634" s="6"/>
      <c r="T634" s="199"/>
      <c r="U634" s="4"/>
    </row>
    <row r="635" spans="2:22" s="177" customFormat="1" ht="13.5" outlineLevel="1">
      <c r="B635" s="175"/>
      <c r="E635" s="319" t="s">
        <v>1135</v>
      </c>
      <c r="F635" s="627" t="s">
        <v>1134</v>
      </c>
      <c r="G635" s="628">
        <f>4.26*2</f>
        <v>8.52</v>
      </c>
      <c r="H635" s="628">
        <f>4.26*2</f>
        <v>8.52</v>
      </c>
      <c r="I635" s="628">
        <f>4.26*2</f>
        <v>8.52</v>
      </c>
      <c r="J635" s="176"/>
      <c r="K635" s="266">
        <f>4.26*2</f>
        <v>8.52</v>
      </c>
      <c r="L635" s="419"/>
      <c r="M635" s="419"/>
      <c r="R635" s="178"/>
      <c r="T635" s="142"/>
      <c r="V635" s="386"/>
    </row>
    <row r="636" spans="2:21" ht="13.5" outlineLevel="1">
      <c r="B636" s="5"/>
      <c r="C636" s="261"/>
      <c r="D636" s="261" t="s">
        <v>64</v>
      </c>
      <c r="E636" s="262" t="s">
        <v>1129</v>
      </c>
      <c r="F636" s="625" t="s">
        <v>1130</v>
      </c>
      <c r="G636" s="625"/>
      <c r="H636" s="625"/>
      <c r="I636" s="625"/>
      <c r="J636" s="174" t="s">
        <v>65</v>
      </c>
      <c r="K636" s="264">
        <f>SUM(K637:K637)</f>
        <v>10.357499999999998</v>
      </c>
      <c r="L636" s="626"/>
      <c r="M636" s="626"/>
      <c r="N636" s="619">
        <f>ROUND(L636*K636,2)</f>
        <v>0</v>
      </c>
      <c r="O636" s="619"/>
      <c r="P636" s="619"/>
      <c r="Q636" s="619"/>
      <c r="R636" s="6"/>
      <c r="T636" s="199"/>
      <c r="U636" s="4"/>
    </row>
    <row r="637" spans="2:22" s="177" customFormat="1" ht="13.5" outlineLevel="1">
      <c r="B637" s="175"/>
      <c r="E637" s="319" t="s">
        <v>1126</v>
      </c>
      <c r="F637" s="627" t="s">
        <v>1133</v>
      </c>
      <c r="G637" s="628">
        <f>(0.9+0.9+1.86+0.97+1+1.275)*1.5</f>
        <v>10.357499999999998</v>
      </c>
      <c r="H637" s="628">
        <f>(0.9+0.9+1.86+0.97+1+1.275)*1.5</f>
        <v>10.357499999999998</v>
      </c>
      <c r="I637" s="628">
        <f>(0.9+0.9+1.86+0.97+1+1.275)*1.5</f>
        <v>10.357499999999998</v>
      </c>
      <c r="J637" s="176"/>
      <c r="K637" s="266">
        <f>(0.9+0.9+1.86+0.97+1+1.275)*1.5</f>
        <v>10.357499999999998</v>
      </c>
      <c r="L637" s="419"/>
      <c r="M637" s="419"/>
      <c r="R637" s="178"/>
      <c r="T637" s="142"/>
      <c r="V637" s="386"/>
    </row>
    <row r="638" spans="2:21" ht="27" customHeight="1" outlineLevel="1">
      <c r="B638" s="5"/>
      <c r="C638" s="261"/>
      <c r="D638" s="261" t="s">
        <v>64</v>
      </c>
      <c r="E638" s="262" t="s">
        <v>1131</v>
      </c>
      <c r="F638" s="625" t="s">
        <v>1132</v>
      </c>
      <c r="G638" s="625"/>
      <c r="H638" s="625"/>
      <c r="I638" s="625"/>
      <c r="J638" s="174" t="s">
        <v>65</v>
      </c>
      <c r="K638" s="264">
        <f>SUM(K639:K639)</f>
        <v>22.816000000000003</v>
      </c>
      <c r="L638" s="626"/>
      <c r="M638" s="626"/>
      <c r="N638" s="619">
        <f>ROUND(L638*K638,2)</f>
        <v>0</v>
      </c>
      <c r="O638" s="619"/>
      <c r="P638" s="619"/>
      <c r="Q638" s="619"/>
      <c r="R638" s="6"/>
      <c r="T638" s="199"/>
      <c r="U638" s="4"/>
    </row>
    <row r="639" spans="2:22" s="177" customFormat="1" ht="13.5" outlineLevel="1">
      <c r="B639" s="175"/>
      <c r="E639" s="319" t="s">
        <v>1127</v>
      </c>
      <c r="F639" s="627" t="s">
        <v>2050</v>
      </c>
      <c r="G639" s="628">
        <f>9.56*1.2+(3.42+4.78)*1.5</f>
        <v>23.772</v>
      </c>
      <c r="H639" s="628">
        <f>9.56*1.2+(3.42+4.78)*1.5</f>
        <v>23.772</v>
      </c>
      <c r="I639" s="628">
        <f>9.56*1.2+(3.42+4.78)*1.5</f>
        <v>23.772</v>
      </c>
      <c r="J639" s="176"/>
      <c r="K639" s="266">
        <f>9.56*1.2+3.42*1.5+4.78*1.3</f>
        <v>22.816000000000003</v>
      </c>
      <c r="L639" s="419"/>
      <c r="M639" s="419"/>
      <c r="R639" s="178"/>
      <c r="T639" s="142"/>
      <c r="V639" s="386"/>
    </row>
    <row r="640" spans="2:20" ht="13.5" outlineLevel="1">
      <c r="B640" s="5"/>
      <c r="C640" s="261"/>
      <c r="D640" s="261" t="s">
        <v>64</v>
      </c>
      <c r="E640" s="262">
        <v>763181411</v>
      </c>
      <c r="F640" s="625" t="s">
        <v>257</v>
      </c>
      <c r="G640" s="625"/>
      <c r="H640" s="625"/>
      <c r="I640" s="625"/>
      <c r="J640" s="174" t="s">
        <v>69</v>
      </c>
      <c r="K640" s="264">
        <f>SUM(K641:K641)</f>
        <v>4</v>
      </c>
      <c r="L640" s="626"/>
      <c r="M640" s="626"/>
      <c r="N640" s="619">
        <f>ROUND(L640*K640,2)</f>
        <v>0</v>
      </c>
      <c r="O640" s="619"/>
      <c r="P640" s="619"/>
      <c r="Q640" s="619"/>
      <c r="R640" s="6"/>
      <c r="T640" s="142"/>
    </row>
    <row r="641" spans="2:22" s="177" customFormat="1" ht="13.5" outlineLevel="1">
      <c r="B641" s="175"/>
      <c r="E641" s="319"/>
      <c r="F641" s="627" t="s">
        <v>470</v>
      </c>
      <c r="G641" s="628"/>
      <c r="H641" s="628"/>
      <c r="I641" s="628"/>
      <c r="J641" s="176"/>
      <c r="K641" s="266">
        <f>4</f>
        <v>4</v>
      </c>
      <c r="L641" s="419"/>
      <c r="M641" s="419"/>
      <c r="R641" s="178"/>
      <c r="T641" s="142"/>
      <c r="V641" s="386"/>
    </row>
    <row r="642" spans="2:21" ht="27" customHeight="1" outlineLevel="1">
      <c r="B642" s="5"/>
      <c r="C642" s="261"/>
      <c r="D642" s="261" t="s">
        <v>64</v>
      </c>
      <c r="E642" s="262">
        <v>763131491</v>
      </c>
      <c r="F642" s="625" t="s">
        <v>1139</v>
      </c>
      <c r="G642" s="625"/>
      <c r="H642" s="625"/>
      <c r="I642" s="625"/>
      <c r="J642" s="174" t="s">
        <v>65</v>
      </c>
      <c r="K642" s="264">
        <f>SUM(K643:K643)</f>
        <v>41.45</v>
      </c>
      <c r="L642" s="626"/>
      <c r="M642" s="626"/>
      <c r="N642" s="619">
        <f>ROUND(L642*K642,2)</f>
        <v>0</v>
      </c>
      <c r="O642" s="619"/>
      <c r="P642" s="619"/>
      <c r="Q642" s="619"/>
      <c r="R642" s="6"/>
      <c r="T642" s="199"/>
      <c r="U642" s="4"/>
    </row>
    <row r="643" spans="2:22" s="177" customFormat="1" ht="11.25" customHeight="1" outlineLevel="1">
      <c r="B643" s="175"/>
      <c r="E643" s="319" t="s">
        <v>1109</v>
      </c>
      <c r="F643" s="627" t="s">
        <v>113</v>
      </c>
      <c r="G643" s="628"/>
      <c r="H643" s="628"/>
      <c r="I643" s="628"/>
      <c r="J643" s="176"/>
      <c r="K643" s="266">
        <v>41.45</v>
      </c>
      <c r="L643" s="419"/>
      <c r="M643" s="419"/>
      <c r="R643" s="178"/>
      <c r="T643" s="142"/>
      <c r="V643" s="386"/>
    </row>
    <row r="644" spans="2:21" ht="27" customHeight="1" outlineLevel="1">
      <c r="B644" s="5"/>
      <c r="C644" s="261"/>
      <c r="D644" s="261" t="s">
        <v>64</v>
      </c>
      <c r="E644" s="262">
        <v>763132122</v>
      </c>
      <c r="F644" s="625" t="s">
        <v>1138</v>
      </c>
      <c r="G644" s="625"/>
      <c r="H644" s="625"/>
      <c r="I644" s="625"/>
      <c r="J644" s="174" t="s">
        <v>65</v>
      </c>
      <c r="K644" s="264">
        <f>SUM(K645:K649)</f>
        <v>268.56</v>
      </c>
      <c r="L644" s="626"/>
      <c r="M644" s="626"/>
      <c r="N644" s="619">
        <f>ROUND(L644*K644,2)</f>
        <v>0</v>
      </c>
      <c r="O644" s="619"/>
      <c r="P644" s="619"/>
      <c r="Q644" s="619"/>
      <c r="R644" s="6"/>
      <c r="T644" s="199"/>
      <c r="U644" s="4"/>
    </row>
    <row r="645" spans="2:22" s="177" customFormat="1" ht="11.25" customHeight="1" outlineLevel="1">
      <c r="B645" s="175"/>
      <c r="E645" s="319" t="s">
        <v>1081</v>
      </c>
      <c r="F645" s="627" t="s">
        <v>113</v>
      </c>
      <c r="G645" s="628"/>
      <c r="H645" s="628"/>
      <c r="I645" s="628"/>
      <c r="J645" s="176"/>
      <c r="K645" s="266">
        <f>2*1.33</f>
        <v>2.66</v>
      </c>
      <c r="L645" s="419"/>
      <c r="M645" s="419"/>
      <c r="R645" s="178"/>
      <c r="T645" s="142"/>
      <c r="V645" s="386"/>
    </row>
    <row r="646" spans="2:22" s="177" customFormat="1" ht="11.25" customHeight="1" outlineLevel="1">
      <c r="B646" s="175"/>
      <c r="E646" s="319" t="s">
        <v>1107</v>
      </c>
      <c r="F646" s="627" t="s">
        <v>113</v>
      </c>
      <c r="G646" s="628"/>
      <c r="H646" s="628"/>
      <c r="I646" s="628"/>
      <c r="J646" s="176"/>
      <c r="K646" s="266">
        <f>143.12+3.3</f>
        <v>146.42000000000002</v>
      </c>
      <c r="L646" s="419"/>
      <c r="M646" s="419"/>
      <c r="R646" s="178"/>
      <c r="T646" s="142"/>
      <c r="V646" s="386"/>
    </row>
    <row r="647" spans="2:22" s="177" customFormat="1" ht="11.25" customHeight="1" outlineLevel="1">
      <c r="B647" s="175"/>
      <c r="E647" s="319" t="s">
        <v>1108</v>
      </c>
      <c r="F647" s="627" t="s">
        <v>113</v>
      </c>
      <c r="G647" s="628"/>
      <c r="H647" s="628"/>
      <c r="I647" s="628"/>
      <c r="J647" s="176"/>
      <c r="K647" s="266">
        <f>65.16</f>
        <v>65.16</v>
      </c>
      <c r="L647" s="419"/>
      <c r="M647" s="419"/>
      <c r="R647" s="178"/>
      <c r="T647" s="142"/>
      <c r="V647" s="386"/>
    </row>
    <row r="648" spans="2:22" s="177" customFormat="1" ht="11.25" customHeight="1" outlineLevel="1">
      <c r="B648" s="175"/>
      <c r="E648" s="319" t="s">
        <v>1109</v>
      </c>
      <c r="F648" s="627" t="s">
        <v>113</v>
      </c>
      <c r="G648" s="628"/>
      <c r="H648" s="628"/>
      <c r="I648" s="628"/>
      <c r="J648" s="176"/>
      <c r="K648" s="266">
        <v>41.45</v>
      </c>
      <c r="L648" s="419"/>
      <c r="M648" s="419"/>
      <c r="R648" s="178"/>
      <c r="T648" s="142"/>
      <c r="V648" s="386"/>
    </row>
    <row r="649" spans="2:22" s="177" customFormat="1" ht="13.5" outlineLevel="1">
      <c r="B649" s="175"/>
      <c r="E649" s="319" t="s">
        <v>1084</v>
      </c>
      <c r="F649" s="627" t="s">
        <v>113</v>
      </c>
      <c r="G649" s="628"/>
      <c r="H649" s="628"/>
      <c r="I649" s="628"/>
      <c r="J649" s="176"/>
      <c r="K649" s="266">
        <v>12.87</v>
      </c>
      <c r="L649" s="419"/>
      <c r="M649" s="419"/>
      <c r="R649" s="178"/>
      <c r="T649" s="142"/>
      <c r="V649" s="386"/>
    </row>
    <row r="650" spans="2:20" ht="13.5" outlineLevel="1">
      <c r="B650" s="5"/>
      <c r="C650" s="261"/>
      <c r="D650" s="261" t="s">
        <v>71</v>
      </c>
      <c r="E650" s="262" t="s">
        <v>2052</v>
      </c>
      <c r="F650" s="625" t="s">
        <v>2053</v>
      </c>
      <c r="G650" s="625"/>
      <c r="H650" s="625"/>
      <c r="I650" s="625"/>
      <c r="J650" s="174" t="s">
        <v>69</v>
      </c>
      <c r="K650" s="264">
        <v>38</v>
      </c>
      <c r="L650" s="626"/>
      <c r="M650" s="626"/>
      <c r="N650" s="619">
        <f>ROUND(L650*K650,2)</f>
        <v>0</v>
      </c>
      <c r="O650" s="619"/>
      <c r="P650" s="619"/>
      <c r="Q650" s="619"/>
      <c r="R650" s="6"/>
      <c r="T650" s="142"/>
    </row>
    <row r="651" spans="2:20" ht="13.5" outlineLevel="1">
      <c r="B651" s="5"/>
      <c r="C651" s="261"/>
      <c r="D651" s="261" t="s">
        <v>64</v>
      </c>
      <c r="E651" s="262">
        <v>763131751</v>
      </c>
      <c r="F651" s="625" t="s">
        <v>440</v>
      </c>
      <c r="G651" s="625"/>
      <c r="H651" s="625"/>
      <c r="I651" s="625"/>
      <c r="J651" s="174" t="s">
        <v>65</v>
      </c>
      <c r="K651" s="264">
        <f>SUM(K652:K652)</f>
        <v>310.01</v>
      </c>
      <c r="L651" s="626"/>
      <c r="M651" s="626"/>
      <c r="N651" s="619">
        <f>ROUND(L651*K651,2)</f>
        <v>0</v>
      </c>
      <c r="O651" s="619"/>
      <c r="P651" s="619"/>
      <c r="Q651" s="619"/>
      <c r="R651" s="6"/>
      <c r="T651" s="142"/>
    </row>
    <row r="652" spans="2:22" s="177" customFormat="1" ht="11.25" customHeight="1" outlineLevel="1">
      <c r="B652" s="175"/>
      <c r="E652" s="319" t="s">
        <v>441</v>
      </c>
      <c r="F652" s="627" t="s">
        <v>165</v>
      </c>
      <c r="G652" s="628"/>
      <c r="H652" s="628"/>
      <c r="I652" s="628"/>
      <c r="J652" s="176"/>
      <c r="K652" s="266">
        <f>K642+K644</f>
        <v>310.01</v>
      </c>
      <c r="L652" s="419"/>
      <c r="M652" s="419"/>
      <c r="R652" s="178"/>
      <c r="T652" s="142"/>
      <c r="V652" s="386"/>
    </row>
    <row r="653" spans="2:20" ht="13.5" outlineLevel="1">
      <c r="B653" s="5"/>
      <c r="C653" s="267"/>
      <c r="D653" s="267" t="s">
        <v>67</v>
      </c>
      <c r="E653" s="320">
        <v>28329012</v>
      </c>
      <c r="F653" s="651" t="s">
        <v>120</v>
      </c>
      <c r="G653" s="651"/>
      <c r="H653" s="651"/>
      <c r="I653" s="651"/>
      <c r="J653" s="179" t="s">
        <v>65</v>
      </c>
      <c r="K653" s="268">
        <f>K651*1.2</f>
        <v>372.012</v>
      </c>
      <c r="L653" s="652"/>
      <c r="M653" s="652"/>
      <c r="N653" s="653">
        <f>ROUND(L653*K653,2)</f>
        <v>0</v>
      </c>
      <c r="O653" s="619"/>
      <c r="P653" s="619"/>
      <c r="Q653" s="619"/>
      <c r="R653" s="6"/>
      <c r="T653" s="142"/>
    </row>
    <row r="654" spans="2:20" ht="13.5" outlineLevel="1">
      <c r="B654" s="5"/>
      <c r="C654" s="261"/>
      <c r="D654" s="261" t="s">
        <v>64</v>
      </c>
      <c r="E654" s="262" t="s">
        <v>442</v>
      </c>
      <c r="F654" s="625" t="s">
        <v>443</v>
      </c>
      <c r="G654" s="625"/>
      <c r="H654" s="625"/>
      <c r="I654" s="625"/>
      <c r="J654" s="174" t="s">
        <v>65</v>
      </c>
      <c r="K654" s="264">
        <f>SUM(K655:K655)</f>
        <v>2.66</v>
      </c>
      <c r="L654" s="626"/>
      <c r="M654" s="626"/>
      <c r="N654" s="619">
        <f>ROUND(L654*K654,2)</f>
        <v>0</v>
      </c>
      <c r="O654" s="619"/>
      <c r="P654" s="619"/>
      <c r="Q654" s="619"/>
      <c r="R654" s="6"/>
      <c r="T654" s="142"/>
    </row>
    <row r="655" spans="2:22" s="177" customFormat="1" ht="11.25" customHeight="1" outlineLevel="1">
      <c r="B655" s="175"/>
      <c r="E655" s="319" t="s">
        <v>1081</v>
      </c>
      <c r="F655" s="627" t="s">
        <v>113</v>
      </c>
      <c r="G655" s="628"/>
      <c r="H655" s="628"/>
      <c r="I655" s="628"/>
      <c r="J655" s="176"/>
      <c r="K655" s="266">
        <f>2*1.33</f>
        <v>2.66</v>
      </c>
      <c r="L655" s="419"/>
      <c r="M655" s="419"/>
      <c r="R655" s="178"/>
      <c r="T655" s="142"/>
      <c r="V655" s="386"/>
    </row>
    <row r="656" spans="2:20" ht="13.5" outlineLevel="1">
      <c r="B656" s="5"/>
      <c r="C656" s="267"/>
      <c r="D656" s="267" t="s">
        <v>67</v>
      </c>
      <c r="E656" s="320">
        <v>63152100</v>
      </c>
      <c r="F656" s="651" t="s">
        <v>426</v>
      </c>
      <c r="G656" s="651"/>
      <c r="H656" s="651"/>
      <c r="I656" s="651"/>
      <c r="J656" s="179" t="s">
        <v>65</v>
      </c>
      <c r="K656" s="268">
        <f>(K654)*1.05</f>
        <v>2.793</v>
      </c>
      <c r="L656" s="652"/>
      <c r="M656" s="652"/>
      <c r="N656" s="653">
        <f>ROUND(L656*K656,2)</f>
        <v>0</v>
      </c>
      <c r="O656" s="619"/>
      <c r="P656" s="619"/>
      <c r="Q656" s="619"/>
      <c r="R656" s="6"/>
      <c r="T656" s="142"/>
    </row>
    <row r="657" spans="2:21" ht="27" customHeight="1" outlineLevel="1">
      <c r="B657" s="5"/>
      <c r="C657" s="261"/>
      <c r="D657" s="261" t="s">
        <v>64</v>
      </c>
      <c r="E657" s="262">
        <v>763161521</v>
      </c>
      <c r="F657" s="625" t="s">
        <v>1141</v>
      </c>
      <c r="G657" s="625"/>
      <c r="H657" s="625"/>
      <c r="I657" s="625"/>
      <c r="J657" s="174" t="s">
        <v>65</v>
      </c>
      <c r="K657" s="264">
        <f>SUM(K658:K659)</f>
        <v>79.2</v>
      </c>
      <c r="L657" s="626"/>
      <c r="M657" s="626"/>
      <c r="N657" s="619">
        <f>ROUND(L657*K657,2)</f>
        <v>0</v>
      </c>
      <c r="O657" s="619"/>
      <c r="P657" s="619"/>
      <c r="Q657" s="619"/>
      <c r="R657" s="6"/>
      <c r="T657" s="199"/>
      <c r="U657" s="4"/>
    </row>
    <row r="658" spans="2:22" s="177" customFormat="1" ht="11.25" customHeight="1" outlineLevel="1">
      <c r="B658" s="175"/>
      <c r="E658" s="319" t="s">
        <v>1146</v>
      </c>
      <c r="F658" s="627" t="s">
        <v>113</v>
      </c>
      <c r="G658" s="628"/>
      <c r="H658" s="628"/>
      <c r="I658" s="628"/>
      <c r="J658" s="176"/>
      <c r="K658" s="266">
        <f>2.4*1.7*9</f>
        <v>36.72</v>
      </c>
      <c r="L658" s="419"/>
      <c r="M658" s="419"/>
      <c r="R658" s="178"/>
      <c r="T658" s="142"/>
      <c r="V658" s="386"/>
    </row>
    <row r="659" spans="2:22" s="177" customFormat="1" ht="11.25" customHeight="1" outlineLevel="1">
      <c r="B659" s="175"/>
      <c r="E659" s="319" t="s">
        <v>1147</v>
      </c>
      <c r="F659" s="627" t="s">
        <v>113</v>
      </c>
      <c r="G659" s="628"/>
      <c r="H659" s="628"/>
      <c r="I659" s="628"/>
      <c r="J659" s="176"/>
      <c r="K659" s="266">
        <f>1.8*(23.6)</f>
        <v>42.480000000000004</v>
      </c>
      <c r="L659" s="419"/>
      <c r="M659" s="419"/>
      <c r="R659" s="178"/>
      <c r="T659" s="142"/>
      <c r="V659" s="386"/>
    </row>
    <row r="660" spans="2:21" ht="27" customHeight="1" outlineLevel="1">
      <c r="B660" s="5"/>
      <c r="C660" s="261"/>
      <c r="D660" s="261" t="s">
        <v>64</v>
      </c>
      <c r="E660" s="262">
        <v>763161522</v>
      </c>
      <c r="F660" s="625" t="s">
        <v>1140</v>
      </c>
      <c r="G660" s="625"/>
      <c r="H660" s="625"/>
      <c r="I660" s="625"/>
      <c r="J660" s="174" t="s">
        <v>65</v>
      </c>
      <c r="K660" s="264">
        <f>SUM(K661:K667)</f>
        <v>496.2307</v>
      </c>
      <c r="L660" s="626"/>
      <c r="M660" s="626"/>
      <c r="N660" s="619">
        <f>ROUND(L660*K660,2)</f>
        <v>0</v>
      </c>
      <c r="O660" s="619"/>
      <c r="P660" s="619"/>
      <c r="Q660" s="619"/>
      <c r="R660" s="6"/>
      <c r="T660" s="199"/>
      <c r="U660" s="4"/>
    </row>
    <row r="661" spans="2:22" s="177" customFormat="1" ht="11.25" customHeight="1" outlineLevel="1">
      <c r="B661" s="175"/>
      <c r="E661" s="319" t="s">
        <v>1142</v>
      </c>
      <c r="F661" s="627" t="s">
        <v>113</v>
      </c>
      <c r="G661" s="628"/>
      <c r="H661" s="628"/>
      <c r="I661" s="628"/>
      <c r="J661" s="176"/>
      <c r="K661" s="266">
        <f>6.5*2*(18.7+12.4)/2</f>
        <v>202.15</v>
      </c>
      <c r="L661" s="419"/>
      <c r="M661" s="419"/>
      <c r="R661" s="178"/>
      <c r="T661" s="142"/>
      <c r="V661" s="386"/>
    </row>
    <row r="662" spans="2:22" s="177" customFormat="1" ht="11.25" customHeight="1" outlineLevel="1">
      <c r="B662" s="175"/>
      <c r="E662" s="319" t="s">
        <v>1144</v>
      </c>
      <c r="F662" s="627" t="s">
        <v>113</v>
      </c>
      <c r="G662" s="628"/>
      <c r="H662" s="628"/>
      <c r="I662" s="628"/>
      <c r="J662" s="176"/>
      <c r="K662" s="266">
        <f>2.4*1.7*2</f>
        <v>8.16</v>
      </c>
      <c r="L662" s="419"/>
      <c r="M662" s="419"/>
      <c r="R662" s="178"/>
      <c r="T662" s="142"/>
      <c r="V662" s="386"/>
    </row>
    <row r="663" spans="2:22" s="177" customFormat="1" ht="11.25" customHeight="1" outlineLevel="1">
      <c r="B663" s="175"/>
      <c r="E663" s="319" t="s">
        <v>1145</v>
      </c>
      <c r="F663" s="627" t="s">
        <v>113</v>
      </c>
      <c r="G663" s="628"/>
      <c r="H663" s="628"/>
      <c r="I663" s="628"/>
      <c r="J663" s="176"/>
      <c r="K663" s="266">
        <f>2.3*(12.4+3)</f>
        <v>35.419999999999995</v>
      </c>
      <c r="L663" s="419"/>
      <c r="M663" s="419"/>
      <c r="R663" s="178"/>
      <c r="T663" s="142"/>
      <c r="V663" s="386"/>
    </row>
    <row r="664" spans="2:22" s="177" customFormat="1" ht="13.5" outlineLevel="1">
      <c r="B664" s="175"/>
      <c r="E664" s="319" t="s">
        <v>1143</v>
      </c>
      <c r="F664" s="627" t="s">
        <v>113</v>
      </c>
      <c r="G664" s="627"/>
      <c r="H664" s="627"/>
      <c r="I664" s="627"/>
      <c r="J664" s="176"/>
      <c r="K664" s="266">
        <f>4.2*2*(23.6+32.3)/2</f>
        <v>234.78</v>
      </c>
      <c r="L664" s="419"/>
      <c r="M664" s="419"/>
      <c r="R664" s="178"/>
      <c r="T664" s="142"/>
      <c r="V664" s="386"/>
    </row>
    <row r="665" spans="2:22" s="177" customFormat="1" ht="11.25" customHeight="1" outlineLevel="1">
      <c r="B665" s="175"/>
      <c r="E665" s="319" t="s">
        <v>1100</v>
      </c>
      <c r="F665" s="627" t="s">
        <v>113</v>
      </c>
      <c r="G665" s="628"/>
      <c r="H665" s="628"/>
      <c r="I665" s="628"/>
      <c r="J665" s="176"/>
      <c r="K665" s="266">
        <f>2.75*1.25</f>
        <v>3.4375</v>
      </c>
      <c r="L665" s="419"/>
      <c r="M665" s="419"/>
      <c r="R665" s="178"/>
      <c r="T665" s="142"/>
      <c r="V665" s="386"/>
    </row>
    <row r="666" spans="2:22" s="177" customFormat="1" ht="11.25" customHeight="1" outlineLevel="1">
      <c r="B666" s="175"/>
      <c r="E666" s="319" t="s">
        <v>2021</v>
      </c>
      <c r="F666" s="627" t="s">
        <v>113</v>
      </c>
      <c r="G666" s="628"/>
      <c r="H666" s="628"/>
      <c r="I666" s="628"/>
      <c r="J666" s="391"/>
      <c r="K666" s="266">
        <f>2.75*2.4</f>
        <v>6.6</v>
      </c>
      <c r="L666" s="419"/>
      <c r="M666" s="419"/>
      <c r="R666" s="178"/>
      <c r="T666" s="142"/>
      <c r="V666" s="386"/>
    </row>
    <row r="667" spans="2:22" s="177" customFormat="1" ht="11.25" customHeight="1" outlineLevel="1">
      <c r="B667" s="175"/>
      <c r="E667" s="319" t="s">
        <v>1099</v>
      </c>
      <c r="F667" s="627" t="s">
        <v>113</v>
      </c>
      <c r="G667" s="628"/>
      <c r="H667" s="628"/>
      <c r="I667" s="628"/>
      <c r="J667" s="176"/>
      <c r="K667" s="266">
        <f>2.22*2.56</f>
        <v>5.6832</v>
      </c>
      <c r="L667" s="419"/>
      <c r="M667" s="419"/>
      <c r="R667" s="178"/>
      <c r="T667" s="142"/>
      <c r="V667" s="386"/>
    </row>
    <row r="668" spans="2:20" ht="13.5" outlineLevel="1">
      <c r="B668" s="5"/>
      <c r="C668" s="261"/>
      <c r="D668" s="261" t="s">
        <v>64</v>
      </c>
      <c r="E668" s="262">
        <v>998763402</v>
      </c>
      <c r="F668" s="625" t="s">
        <v>1148</v>
      </c>
      <c r="G668" s="625"/>
      <c r="H668" s="625"/>
      <c r="I668" s="625"/>
      <c r="J668" s="174" t="s">
        <v>72</v>
      </c>
      <c r="K668" s="180">
        <f>SUM(N630:Q667)</f>
        <v>0</v>
      </c>
      <c r="L668" s="666"/>
      <c r="M668" s="666"/>
      <c r="N668" s="619">
        <f>ROUND(L668*K668,2)</f>
        <v>0</v>
      </c>
      <c r="O668" s="619"/>
      <c r="P668" s="619"/>
      <c r="Q668" s="619"/>
      <c r="R668" s="6"/>
      <c r="T668" s="142"/>
    </row>
    <row r="669" spans="2:22" s="143" customFormat="1" ht="12.75">
      <c r="B669" s="139"/>
      <c r="C669" s="140"/>
      <c r="D669" s="140" t="s">
        <v>444</v>
      </c>
      <c r="E669" s="140"/>
      <c r="F669" s="140"/>
      <c r="G669" s="140"/>
      <c r="H669" s="140"/>
      <c r="I669" s="140"/>
      <c r="J669" s="172"/>
      <c r="K669" s="140"/>
      <c r="L669" s="186"/>
      <c r="M669" s="186"/>
      <c r="N669" s="667">
        <f>SUM(N670:Q685)</f>
        <v>0</v>
      </c>
      <c r="O669" s="667"/>
      <c r="P669" s="667"/>
      <c r="Q669" s="667"/>
      <c r="R669" s="141"/>
      <c r="T669" s="142">
        <f>SUM(N669:Q685)/2</f>
        <v>0</v>
      </c>
      <c r="U669" s="177"/>
      <c r="V669" s="384"/>
    </row>
    <row r="670" spans="2:20" ht="13.5" outlineLevel="1">
      <c r="B670" s="5"/>
      <c r="C670" s="261"/>
      <c r="D670" s="261" t="s">
        <v>64</v>
      </c>
      <c r="E670" s="262">
        <v>765112901</v>
      </c>
      <c r="F670" s="661" t="s">
        <v>1988</v>
      </c>
      <c r="G670" s="662">
        <v>0</v>
      </c>
      <c r="H670" s="662">
        <v>0</v>
      </c>
      <c r="I670" s="663">
        <v>0</v>
      </c>
      <c r="J670" s="174" t="s">
        <v>65</v>
      </c>
      <c r="K670" s="264">
        <f>SUM(K671:K674)</f>
        <v>547.5500000000001</v>
      </c>
      <c r="L670" s="664"/>
      <c r="M670" s="665"/>
      <c r="N670" s="658">
        <f>ROUND(L670*K670,2)</f>
        <v>0</v>
      </c>
      <c r="O670" s="659"/>
      <c r="P670" s="659"/>
      <c r="Q670" s="660"/>
      <c r="R670" s="6"/>
      <c r="T670" s="142"/>
    </row>
    <row r="671" spans="2:22" s="177" customFormat="1" ht="11.25" customHeight="1" outlineLevel="1">
      <c r="B671" s="175"/>
      <c r="E671" s="319" t="s">
        <v>1142</v>
      </c>
      <c r="F671" s="627" t="s">
        <v>113</v>
      </c>
      <c r="G671" s="627"/>
      <c r="H671" s="627"/>
      <c r="I671" s="627"/>
      <c r="J671" s="176"/>
      <c r="K671" s="266">
        <f>6.5*2*(18.7+12.4)/2</f>
        <v>202.15</v>
      </c>
      <c r="L671" s="419"/>
      <c r="M671" s="419"/>
      <c r="R671" s="178"/>
      <c r="T671" s="142"/>
      <c r="V671" s="386"/>
    </row>
    <row r="672" spans="2:22" s="177" customFormat="1" ht="11.25" customHeight="1" outlineLevel="1">
      <c r="B672" s="175"/>
      <c r="E672" s="319" t="s">
        <v>1145</v>
      </c>
      <c r="F672" s="627" t="s">
        <v>113</v>
      </c>
      <c r="G672" s="628"/>
      <c r="H672" s="628"/>
      <c r="I672" s="628"/>
      <c r="J672" s="176"/>
      <c r="K672" s="266">
        <f>1.4*2*(18.7+12.4)/2</f>
        <v>43.54</v>
      </c>
      <c r="L672" s="419"/>
      <c r="M672" s="419"/>
      <c r="R672" s="178"/>
      <c r="T672" s="142"/>
      <c r="V672" s="386"/>
    </row>
    <row r="673" spans="2:22" s="177" customFormat="1" ht="13.5" outlineLevel="1">
      <c r="B673" s="175"/>
      <c r="E673" s="319" t="s">
        <v>1143</v>
      </c>
      <c r="F673" s="627" t="s">
        <v>113</v>
      </c>
      <c r="G673" s="627"/>
      <c r="H673" s="627"/>
      <c r="I673" s="627"/>
      <c r="J673" s="176"/>
      <c r="K673" s="266">
        <f>4.2*2*(23.6+32.3)/2</f>
        <v>234.78</v>
      </c>
      <c r="L673" s="419"/>
      <c r="M673" s="419"/>
      <c r="R673" s="178"/>
      <c r="T673" s="142"/>
      <c r="V673" s="386"/>
    </row>
    <row r="674" spans="2:22" s="177" customFormat="1" ht="11.25" customHeight="1" outlineLevel="1">
      <c r="B674" s="175"/>
      <c r="E674" s="319" t="s">
        <v>1147</v>
      </c>
      <c r="F674" s="627" t="s">
        <v>113</v>
      </c>
      <c r="G674" s="628"/>
      <c r="H674" s="628"/>
      <c r="I674" s="628"/>
      <c r="J674" s="176"/>
      <c r="K674" s="266">
        <f>1.2*2*(23.6+32.3)/2</f>
        <v>67.08</v>
      </c>
      <c r="L674" s="419"/>
      <c r="M674" s="419"/>
      <c r="R674" s="178"/>
      <c r="T674" s="142"/>
      <c r="V674" s="386"/>
    </row>
    <row r="675" spans="2:20" ht="13.5" outlineLevel="1">
      <c r="B675" s="5"/>
      <c r="C675" s="261"/>
      <c r="D675" s="261" t="s">
        <v>64</v>
      </c>
      <c r="E675" s="262">
        <v>765112931</v>
      </c>
      <c r="F675" s="661" t="s">
        <v>1989</v>
      </c>
      <c r="G675" s="662">
        <v>0</v>
      </c>
      <c r="H675" s="662">
        <v>0</v>
      </c>
      <c r="I675" s="663">
        <v>0</v>
      </c>
      <c r="J675" s="174" t="s">
        <v>70</v>
      </c>
      <c r="K675" s="264">
        <f>SUM(K676:K677)</f>
        <v>60.400000000000006</v>
      </c>
      <c r="L675" s="664"/>
      <c r="M675" s="665"/>
      <c r="N675" s="658">
        <f>ROUND(L675*K675,2)</f>
        <v>0</v>
      </c>
      <c r="O675" s="659"/>
      <c r="P675" s="659"/>
      <c r="Q675" s="660"/>
      <c r="R675" s="6"/>
      <c r="T675" s="142"/>
    </row>
    <row r="676" spans="2:22" s="177" customFormat="1" ht="11.25" customHeight="1" outlineLevel="1">
      <c r="B676" s="175"/>
      <c r="E676" s="319" t="s">
        <v>1990</v>
      </c>
      <c r="F676" s="627"/>
      <c r="G676" s="628"/>
      <c r="H676" s="628"/>
      <c r="I676" s="628"/>
      <c r="J676" s="176"/>
      <c r="K676" s="266">
        <f>12.7+24+4.1+3.8*2</f>
        <v>48.400000000000006</v>
      </c>
      <c r="L676" s="419"/>
      <c r="M676" s="419"/>
      <c r="R676" s="178"/>
      <c r="T676" s="142"/>
      <c r="V676" s="386"/>
    </row>
    <row r="677" spans="2:22" s="177" customFormat="1" ht="11.25" customHeight="1" outlineLevel="1">
      <c r="B677" s="175"/>
      <c r="E677" s="319" t="s">
        <v>1991</v>
      </c>
      <c r="F677" s="627"/>
      <c r="G677" s="628"/>
      <c r="H677" s="628"/>
      <c r="I677" s="628"/>
      <c r="J677" s="176"/>
      <c r="K677" s="266">
        <f>9+3</f>
        <v>12</v>
      </c>
      <c r="L677" s="419"/>
      <c r="M677" s="419"/>
      <c r="R677" s="178"/>
      <c r="T677" s="142"/>
      <c r="V677" s="386"/>
    </row>
    <row r="678" spans="2:21" ht="13.5" outlineLevel="1">
      <c r="B678" s="5"/>
      <c r="C678" s="261"/>
      <c r="D678" s="261" t="s">
        <v>64</v>
      </c>
      <c r="E678" s="262">
        <v>764042419</v>
      </c>
      <c r="F678" s="625" t="s">
        <v>2027</v>
      </c>
      <c r="G678" s="625"/>
      <c r="H678" s="625"/>
      <c r="I678" s="625"/>
      <c r="J678" s="174" t="s">
        <v>65</v>
      </c>
      <c r="K678" s="264">
        <f>SUM(K679:K679)</f>
        <v>6.6</v>
      </c>
      <c r="L678" s="626"/>
      <c r="M678" s="626"/>
      <c r="N678" s="619">
        <f>ROUND(L678*K678,2)</f>
        <v>0</v>
      </c>
      <c r="O678" s="619"/>
      <c r="P678" s="619"/>
      <c r="Q678" s="619"/>
      <c r="R678" s="6"/>
      <c r="T678" s="199"/>
      <c r="U678" s="4"/>
    </row>
    <row r="679" spans="2:22" s="177" customFormat="1" ht="11.25" customHeight="1" outlineLevel="1">
      <c r="B679" s="175"/>
      <c r="E679" s="319" t="s">
        <v>2021</v>
      </c>
      <c r="F679" s="627" t="s">
        <v>2022</v>
      </c>
      <c r="G679" s="628">
        <f>2.75*1.25+2.22*2.56</f>
        <v>9.1207</v>
      </c>
      <c r="H679" s="628">
        <f>2.75*1.25+2.22*2.56</f>
        <v>9.1207</v>
      </c>
      <c r="I679" s="628">
        <f>2.75*1.25+2.22*2.56</f>
        <v>9.1207</v>
      </c>
      <c r="J679" s="176"/>
      <c r="K679" s="266">
        <f>2.75*2.4</f>
        <v>6.6</v>
      </c>
      <c r="L679" s="419"/>
      <c r="M679" s="419"/>
      <c r="R679" s="178"/>
      <c r="T679" s="142"/>
      <c r="V679" s="386"/>
    </row>
    <row r="680" spans="2:20" ht="13.5" outlineLevel="1">
      <c r="B680" s="5"/>
      <c r="C680" s="261"/>
      <c r="D680" s="261" t="s">
        <v>64</v>
      </c>
      <c r="E680" s="262">
        <v>765114011</v>
      </c>
      <c r="F680" s="661" t="s">
        <v>445</v>
      </c>
      <c r="G680" s="662">
        <v>0</v>
      </c>
      <c r="H680" s="662">
        <v>0</v>
      </c>
      <c r="I680" s="663">
        <v>0</v>
      </c>
      <c r="J680" s="174" t="s">
        <v>65</v>
      </c>
      <c r="K680" s="264">
        <f>SUM(K681:K682)</f>
        <v>44.879999999999995</v>
      </c>
      <c r="L680" s="664"/>
      <c r="M680" s="665"/>
      <c r="N680" s="658">
        <f>ROUND(L680*K680,2)</f>
        <v>0</v>
      </c>
      <c r="O680" s="659"/>
      <c r="P680" s="659"/>
      <c r="Q680" s="660"/>
      <c r="R680" s="6"/>
      <c r="T680" s="142"/>
    </row>
    <row r="681" spans="2:22" s="177" customFormat="1" ht="11.25" customHeight="1" outlineLevel="1">
      <c r="B681" s="175"/>
      <c r="E681" s="319" t="s">
        <v>1144</v>
      </c>
      <c r="F681" s="627" t="s">
        <v>1168</v>
      </c>
      <c r="G681" s="628">
        <f>2.4*1.7*2</f>
        <v>8.16</v>
      </c>
      <c r="H681" s="628">
        <f>2.4*1.7*2</f>
        <v>8.16</v>
      </c>
      <c r="I681" s="628">
        <f>2.4*1.7*2</f>
        <v>8.16</v>
      </c>
      <c r="J681" s="176"/>
      <c r="K681" s="266">
        <f>2.4*1.7*2</f>
        <v>8.16</v>
      </c>
      <c r="L681" s="419"/>
      <c r="M681" s="419"/>
      <c r="R681" s="178"/>
      <c r="T681" s="142"/>
      <c r="V681" s="386"/>
    </row>
    <row r="682" spans="2:22" s="177" customFormat="1" ht="11.25" customHeight="1" outlineLevel="1">
      <c r="B682" s="175"/>
      <c r="E682" s="319" t="s">
        <v>1146</v>
      </c>
      <c r="F682" s="627" t="s">
        <v>1169</v>
      </c>
      <c r="G682" s="628">
        <f>2.4*1.7*9</f>
        <v>36.72</v>
      </c>
      <c r="H682" s="628">
        <f>2.4*1.7*9</f>
        <v>36.72</v>
      </c>
      <c r="I682" s="628">
        <f>2.4*1.7*9</f>
        <v>36.72</v>
      </c>
      <c r="J682" s="176"/>
      <c r="K682" s="266">
        <f>2.4*1.7*9</f>
        <v>36.72</v>
      </c>
      <c r="L682" s="419"/>
      <c r="M682" s="419"/>
      <c r="R682" s="178"/>
      <c r="T682" s="142"/>
      <c r="V682" s="386"/>
    </row>
    <row r="683" spans="2:21" ht="27" customHeight="1" outlineLevel="1">
      <c r="B683" s="5"/>
      <c r="C683" s="261"/>
      <c r="D683" s="261" t="s">
        <v>64</v>
      </c>
      <c r="E683" s="262">
        <v>765111503</v>
      </c>
      <c r="F683" s="625" t="s">
        <v>446</v>
      </c>
      <c r="G683" s="625"/>
      <c r="H683" s="625"/>
      <c r="I683" s="625"/>
      <c r="J683" s="174" t="s">
        <v>65</v>
      </c>
      <c r="K683" s="264">
        <f>K680</f>
        <v>44.879999999999995</v>
      </c>
      <c r="L683" s="626"/>
      <c r="M683" s="626"/>
      <c r="N683" s="619">
        <f>ROUND(L683*K683,2)</f>
        <v>0</v>
      </c>
      <c r="O683" s="619"/>
      <c r="P683" s="619"/>
      <c r="Q683" s="619"/>
      <c r="R683" s="6"/>
      <c r="T683" s="199"/>
      <c r="U683" s="4"/>
    </row>
    <row r="684" spans="2:21" ht="27" customHeight="1" outlineLevel="1">
      <c r="B684" s="5"/>
      <c r="C684" s="261"/>
      <c r="D684" s="261" t="s">
        <v>64</v>
      </c>
      <c r="E684" s="262">
        <v>765111504</v>
      </c>
      <c r="F684" s="625" t="s">
        <v>1149</v>
      </c>
      <c r="G684" s="625"/>
      <c r="H684" s="625"/>
      <c r="I684" s="625"/>
      <c r="J684" s="174" t="s">
        <v>65</v>
      </c>
      <c r="K684" s="264">
        <f>K681</f>
        <v>8.16</v>
      </c>
      <c r="L684" s="626"/>
      <c r="M684" s="626"/>
      <c r="N684" s="619">
        <f>ROUND(L684*K684,2)</f>
        <v>0</v>
      </c>
      <c r="O684" s="619"/>
      <c r="P684" s="619"/>
      <c r="Q684" s="619"/>
      <c r="R684" s="6"/>
      <c r="T684" s="199"/>
      <c r="U684" s="4"/>
    </row>
    <row r="685" spans="2:20" ht="13.5" outlineLevel="1">
      <c r="B685" s="5"/>
      <c r="C685" s="261"/>
      <c r="D685" s="261" t="s">
        <v>64</v>
      </c>
      <c r="E685" s="262">
        <v>998764202</v>
      </c>
      <c r="F685" s="661" t="s">
        <v>1150</v>
      </c>
      <c r="G685" s="662"/>
      <c r="H685" s="662"/>
      <c r="I685" s="663"/>
      <c r="J685" s="174" t="s">
        <v>72</v>
      </c>
      <c r="K685" s="180">
        <f>SUM(N670:Q684)</f>
        <v>0</v>
      </c>
      <c r="L685" s="656"/>
      <c r="M685" s="657"/>
      <c r="N685" s="658">
        <f>ROUND(L685*K685,2)</f>
        <v>0</v>
      </c>
      <c r="O685" s="659"/>
      <c r="P685" s="659"/>
      <c r="Q685" s="660"/>
      <c r="R685" s="6"/>
      <c r="T685" s="142"/>
    </row>
    <row r="686" spans="2:22" s="143" customFormat="1" ht="12.75">
      <c r="B686" s="139"/>
      <c r="C686" s="140"/>
      <c r="D686" s="140" t="s">
        <v>1151</v>
      </c>
      <c r="E686" s="140"/>
      <c r="F686" s="140"/>
      <c r="G686" s="140"/>
      <c r="H686" s="140"/>
      <c r="I686" s="140"/>
      <c r="J686" s="172"/>
      <c r="K686" s="140"/>
      <c r="L686" s="186"/>
      <c r="M686" s="186"/>
      <c r="N686" s="667">
        <f>SUM(N687:Q705)</f>
        <v>0</v>
      </c>
      <c r="O686" s="667"/>
      <c r="P686" s="667"/>
      <c r="Q686" s="667"/>
      <c r="R686" s="141"/>
      <c r="T686" s="142">
        <f>SUM(N686:Q705)/2</f>
        <v>0</v>
      </c>
      <c r="U686" s="177"/>
      <c r="V686" s="384"/>
    </row>
    <row r="687" spans="2:20" ht="13.5" outlineLevel="1">
      <c r="B687" s="5"/>
      <c r="C687" s="261"/>
      <c r="D687" s="261" t="s">
        <v>64</v>
      </c>
      <c r="E687" s="262" t="s">
        <v>1995</v>
      </c>
      <c r="F687" s="661" t="s">
        <v>1996</v>
      </c>
      <c r="G687" s="662">
        <v>0</v>
      </c>
      <c r="H687" s="662">
        <v>0</v>
      </c>
      <c r="I687" s="663">
        <v>0</v>
      </c>
      <c r="J687" s="174" t="s">
        <v>70</v>
      </c>
      <c r="K687" s="264">
        <f>SUM(K688:K688)</f>
        <v>70.70454545454547</v>
      </c>
      <c r="L687" s="664"/>
      <c r="M687" s="665"/>
      <c r="N687" s="658">
        <f>ROUND(L687*K687,2)</f>
        <v>0</v>
      </c>
      <c r="O687" s="659"/>
      <c r="P687" s="659"/>
      <c r="Q687" s="660"/>
      <c r="R687" s="6"/>
      <c r="T687" s="142"/>
    </row>
    <row r="688" spans="2:22" s="177" customFormat="1" ht="13.5" outlineLevel="1">
      <c r="B688" s="175"/>
      <c r="E688" s="319" t="s">
        <v>1093</v>
      </c>
      <c r="F688" s="627" t="s">
        <v>1997</v>
      </c>
      <c r="G688" s="628"/>
      <c r="H688" s="628"/>
      <c r="I688" s="628"/>
      <c r="J688" s="176">
        <v>0.66</v>
      </c>
      <c r="K688" s="266">
        <f>((3.5*2+5.9)*3+(2.7+2.5+2.7+2.5+7.3)*0.45)/J688</f>
        <v>70.70454545454547</v>
      </c>
      <c r="L688" s="419"/>
      <c r="M688" s="419"/>
      <c r="R688" s="178"/>
      <c r="T688" s="395">
        <f>0.08*0.06</f>
        <v>0.0048</v>
      </c>
      <c r="V688" s="386"/>
    </row>
    <row r="689" spans="2:20" ht="13.5" outlineLevel="1">
      <c r="B689" s="5"/>
      <c r="C689" s="267"/>
      <c r="D689" s="267" t="s">
        <v>67</v>
      </c>
      <c r="E689" s="320">
        <v>60512125</v>
      </c>
      <c r="F689" s="651" t="s">
        <v>2002</v>
      </c>
      <c r="G689" s="651"/>
      <c r="H689" s="651"/>
      <c r="I689" s="651"/>
      <c r="J689" s="179" t="s">
        <v>66</v>
      </c>
      <c r="K689" s="268">
        <f>K687*0.08*0.06</f>
        <v>0.33938181818181823</v>
      </c>
      <c r="L689" s="652"/>
      <c r="M689" s="652"/>
      <c r="N689" s="653">
        <f>ROUND(L689*K689,2)</f>
        <v>0</v>
      </c>
      <c r="O689" s="619"/>
      <c r="P689" s="619"/>
      <c r="Q689" s="619"/>
      <c r="R689" s="6"/>
      <c r="T689" s="142"/>
    </row>
    <row r="690" spans="2:20" ht="13.5" outlineLevel="1">
      <c r="B690" s="5"/>
      <c r="C690" s="261"/>
      <c r="D690" s="261" t="s">
        <v>64</v>
      </c>
      <c r="E690" s="262">
        <v>763111741</v>
      </c>
      <c r="F690" s="625" t="s">
        <v>2003</v>
      </c>
      <c r="G690" s="625"/>
      <c r="H690" s="625"/>
      <c r="I690" s="625"/>
      <c r="J690" s="174" t="s">
        <v>65</v>
      </c>
      <c r="K690" s="264">
        <f>SUM(K691:K691)</f>
        <v>46.665000000000006</v>
      </c>
      <c r="L690" s="626"/>
      <c r="M690" s="626"/>
      <c r="N690" s="619">
        <f>ROUND(L690*K690,2)</f>
        <v>0</v>
      </c>
      <c r="O690" s="619"/>
      <c r="P690" s="619"/>
      <c r="Q690" s="619"/>
      <c r="R690" s="6"/>
      <c r="T690" s="142"/>
    </row>
    <row r="691" spans="2:22" s="177" customFormat="1" ht="13.5" outlineLevel="1">
      <c r="B691" s="175"/>
      <c r="E691" s="319" t="s">
        <v>1093</v>
      </c>
      <c r="F691" s="627"/>
      <c r="G691" s="628"/>
      <c r="H691" s="628"/>
      <c r="I691" s="628"/>
      <c r="J691" s="176"/>
      <c r="K691" s="266">
        <f>(3.5*2+5.9)*3+(2.7+2.5+2.7+2.5+7.3)*0.45</f>
        <v>46.665000000000006</v>
      </c>
      <c r="L691" s="419"/>
      <c r="M691" s="419"/>
      <c r="R691" s="178"/>
      <c r="T691" s="142"/>
      <c r="V691" s="386"/>
    </row>
    <row r="692" spans="2:20" ht="13.5" outlineLevel="1">
      <c r="B692" s="5"/>
      <c r="C692" s="267"/>
      <c r="D692" s="267" t="s">
        <v>67</v>
      </c>
      <c r="E692" s="320">
        <v>28329012</v>
      </c>
      <c r="F692" s="651" t="s">
        <v>120</v>
      </c>
      <c r="G692" s="651"/>
      <c r="H692" s="651"/>
      <c r="I692" s="651"/>
      <c r="J692" s="179" t="s">
        <v>65</v>
      </c>
      <c r="K692" s="268">
        <f>K690*1.2</f>
        <v>55.998000000000005</v>
      </c>
      <c r="L692" s="652"/>
      <c r="M692" s="652"/>
      <c r="N692" s="653">
        <f>ROUND(L692*K692,2)</f>
        <v>0</v>
      </c>
      <c r="O692" s="619"/>
      <c r="P692" s="619"/>
      <c r="Q692" s="619"/>
      <c r="R692" s="6"/>
      <c r="T692" s="142"/>
    </row>
    <row r="693" spans="2:20" ht="11.25" customHeight="1" outlineLevel="1">
      <c r="B693" s="5"/>
      <c r="C693" s="261"/>
      <c r="D693" s="261" t="s">
        <v>64</v>
      </c>
      <c r="E693" s="262" t="s">
        <v>1995</v>
      </c>
      <c r="F693" s="661" t="s">
        <v>1996</v>
      </c>
      <c r="G693" s="662">
        <v>0</v>
      </c>
      <c r="H693" s="662">
        <v>0</v>
      </c>
      <c r="I693" s="663">
        <v>0</v>
      </c>
      <c r="J693" s="174" t="s">
        <v>70</v>
      </c>
      <c r="K693" s="264">
        <f>SUM(K694:K694)</f>
        <v>93.33000000000001</v>
      </c>
      <c r="L693" s="664"/>
      <c r="M693" s="665"/>
      <c r="N693" s="658">
        <f>ROUND(L693*K693,2)</f>
        <v>0</v>
      </c>
      <c r="O693" s="659"/>
      <c r="P693" s="659"/>
      <c r="Q693" s="660"/>
      <c r="R693" s="6"/>
      <c r="T693" s="142"/>
    </row>
    <row r="694" spans="2:22" s="177" customFormat="1" ht="13.5" outlineLevel="1">
      <c r="B694" s="175"/>
      <c r="E694" s="319" t="s">
        <v>1093</v>
      </c>
      <c r="F694" s="627" t="s">
        <v>1998</v>
      </c>
      <c r="G694" s="628"/>
      <c r="H694" s="628"/>
      <c r="I694" s="628"/>
      <c r="J694" s="176">
        <v>0.5</v>
      </c>
      <c r="K694" s="266">
        <f>((3.5*2+5.9)*3+(2.7+2.5+2.7+2.5+7.3)*0.45)/J694</f>
        <v>93.33000000000001</v>
      </c>
      <c r="L694" s="419"/>
      <c r="M694" s="419"/>
      <c r="R694" s="178"/>
      <c r="T694" s="142"/>
      <c r="V694" s="386"/>
    </row>
    <row r="695" spans="2:20" ht="13.5" outlineLevel="1">
      <c r="B695" s="5"/>
      <c r="C695" s="267"/>
      <c r="D695" s="267" t="s">
        <v>67</v>
      </c>
      <c r="E695" s="320">
        <v>60515111</v>
      </c>
      <c r="F695" s="651" t="s">
        <v>1974</v>
      </c>
      <c r="G695" s="651"/>
      <c r="H695" s="651"/>
      <c r="I695" s="651"/>
      <c r="J695" s="179" t="s">
        <v>66</v>
      </c>
      <c r="K695" s="268">
        <f>K693*0.1*0.022</f>
        <v>0.20532600000000004</v>
      </c>
      <c r="L695" s="652"/>
      <c r="M695" s="652"/>
      <c r="N695" s="653">
        <f>ROUND(L695*K695,2)</f>
        <v>0</v>
      </c>
      <c r="O695" s="619"/>
      <c r="P695" s="619"/>
      <c r="Q695" s="619"/>
      <c r="R695" s="6"/>
      <c r="T695" s="142"/>
    </row>
    <row r="696" spans="2:20" ht="13.5" outlineLevel="1">
      <c r="B696" s="5"/>
      <c r="C696" s="261"/>
      <c r="D696" s="261" t="s">
        <v>64</v>
      </c>
      <c r="E696" s="262">
        <v>766412213</v>
      </c>
      <c r="F696" s="661" t="s">
        <v>1999</v>
      </c>
      <c r="G696" s="662">
        <v>0</v>
      </c>
      <c r="H696" s="662">
        <v>0</v>
      </c>
      <c r="I696" s="663">
        <v>0</v>
      </c>
      <c r="J696" s="174" t="s">
        <v>65</v>
      </c>
      <c r="K696" s="264">
        <f>SUM(K697:K697)</f>
        <v>46.665000000000006</v>
      </c>
      <c r="L696" s="664"/>
      <c r="M696" s="665"/>
      <c r="N696" s="658">
        <f>ROUND(L696*K696,2)</f>
        <v>0</v>
      </c>
      <c r="O696" s="659"/>
      <c r="P696" s="659"/>
      <c r="Q696" s="660"/>
      <c r="R696" s="6"/>
      <c r="T696" s="142"/>
    </row>
    <row r="697" spans="2:22" s="177" customFormat="1" ht="13.5" outlineLevel="1">
      <c r="B697" s="175"/>
      <c r="E697" s="319" t="s">
        <v>1093</v>
      </c>
      <c r="F697" s="627"/>
      <c r="G697" s="628"/>
      <c r="H697" s="628"/>
      <c r="I697" s="628"/>
      <c r="J697" s="176"/>
      <c r="K697" s="266">
        <f>(3.5*2+5.9)*3+(2.7+2.5+2.7+2.5+7.3)*0.45</f>
        <v>46.665000000000006</v>
      </c>
      <c r="L697" s="419"/>
      <c r="M697" s="419"/>
      <c r="R697" s="178"/>
      <c r="T697" s="142"/>
      <c r="V697" s="386"/>
    </row>
    <row r="698" spans="2:20" ht="13.5" outlineLevel="1">
      <c r="B698" s="5"/>
      <c r="C698" s="267"/>
      <c r="D698" s="267" t="s">
        <v>67</v>
      </c>
      <c r="E698" s="320">
        <v>61191173</v>
      </c>
      <c r="F698" s="651" t="s">
        <v>1968</v>
      </c>
      <c r="G698" s="651"/>
      <c r="H698" s="651"/>
      <c r="I698" s="651"/>
      <c r="J698" s="179" t="s">
        <v>65</v>
      </c>
      <c r="K698" s="268">
        <f>(K696)*1.1</f>
        <v>51.33150000000001</v>
      </c>
      <c r="L698" s="652"/>
      <c r="M698" s="652"/>
      <c r="N698" s="653">
        <f>ROUND(L698*K698,2)</f>
        <v>0</v>
      </c>
      <c r="O698" s="619"/>
      <c r="P698" s="619"/>
      <c r="Q698" s="619"/>
      <c r="R698" s="6"/>
      <c r="T698" s="142"/>
    </row>
    <row r="699" spans="2:21" ht="27" customHeight="1" outlineLevel="1">
      <c r="B699" s="5"/>
      <c r="C699" s="261"/>
      <c r="D699" s="261" t="s">
        <v>64</v>
      </c>
      <c r="E699" s="262" t="s">
        <v>2000</v>
      </c>
      <c r="F699" s="625" t="s">
        <v>2001</v>
      </c>
      <c r="G699" s="625">
        <v>0</v>
      </c>
      <c r="H699" s="625">
        <v>0</v>
      </c>
      <c r="I699" s="625">
        <v>0</v>
      </c>
      <c r="J699" s="174" t="s">
        <v>65</v>
      </c>
      <c r="K699" s="264">
        <f>SUM(K700:K703)</f>
        <v>189.2475</v>
      </c>
      <c r="L699" s="626"/>
      <c r="M699" s="626"/>
      <c r="N699" s="619">
        <f>ROUND(L699*K699,2)</f>
        <v>0</v>
      </c>
      <c r="O699" s="619"/>
      <c r="P699" s="619"/>
      <c r="Q699" s="619"/>
      <c r="R699" s="6"/>
      <c r="T699" s="199"/>
      <c r="U699" s="4"/>
    </row>
    <row r="700" spans="2:22" s="177" customFormat="1" ht="11.25" customHeight="1" outlineLevel="1">
      <c r="B700" s="175"/>
      <c r="E700" s="319" t="s">
        <v>1142</v>
      </c>
      <c r="F700" s="627" t="s">
        <v>1967</v>
      </c>
      <c r="G700" s="628"/>
      <c r="H700" s="628"/>
      <c r="I700" s="628"/>
      <c r="J700" s="391">
        <v>0.75</v>
      </c>
      <c r="K700" s="266">
        <f>6.5*2*(18.7+12.4)/2*J700</f>
        <v>151.6125</v>
      </c>
      <c r="L700" s="419"/>
      <c r="M700" s="419"/>
      <c r="R700" s="178"/>
      <c r="T700" s="142"/>
      <c r="V700" s="386"/>
    </row>
    <row r="701" spans="2:22" s="177" customFormat="1" ht="11.25" customHeight="1" outlineLevel="1">
      <c r="B701" s="175"/>
      <c r="E701" s="319" t="s">
        <v>1144</v>
      </c>
      <c r="F701" s="627" t="s">
        <v>1967</v>
      </c>
      <c r="G701" s="628"/>
      <c r="H701" s="628"/>
      <c r="I701" s="628"/>
      <c r="J701" s="391">
        <v>0.75</v>
      </c>
      <c r="K701" s="266">
        <f>2.4*1.7*2*J701</f>
        <v>6.12</v>
      </c>
      <c r="L701" s="419"/>
      <c r="M701" s="419"/>
      <c r="R701" s="178"/>
      <c r="T701" s="142"/>
      <c r="V701" s="386"/>
    </row>
    <row r="702" spans="2:22" s="177" customFormat="1" ht="11.25" customHeight="1" outlineLevel="1">
      <c r="B702" s="175"/>
      <c r="E702" s="319" t="s">
        <v>1145</v>
      </c>
      <c r="F702" s="627" t="s">
        <v>1967</v>
      </c>
      <c r="G702" s="628"/>
      <c r="H702" s="628"/>
      <c r="I702" s="628"/>
      <c r="J702" s="391">
        <v>0.75</v>
      </c>
      <c r="K702" s="266">
        <f>2.3*(12.4+3)*J702</f>
        <v>26.564999999999998</v>
      </c>
      <c r="L702" s="419"/>
      <c r="M702" s="419"/>
      <c r="R702" s="178"/>
      <c r="T702" s="142"/>
      <c r="V702" s="386"/>
    </row>
    <row r="703" spans="2:22" s="177" customFormat="1" ht="13.5" outlineLevel="1">
      <c r="B703" s="175"/>
      <c r="E703" s="319" t="s">
        <v>2021</v>
      </c>
      <c r="F703" s="627" t="s">
        <v>1967</v>
      </c>
      <c r="G703" s="628"/>
      <c r="H703" s="628"/>
      <c r="I703" s="628"/>
      <c r="J703" s="391">
        <v>0.75</v>
      </c>
      <c r="K703" s="266">
        <f>2.75*2.4*J703</f>
        <v>4.949999999999999</v>
      </c>
      <c r="L703" s="419"/>
      <c r="M703" s="419"/>
      <c r="R703" s="178"/>
      <c r="T703" s="142"/>
      <c r="V703" s="386"/>
    </row>
    <row r="704" spans="2:20" ht="13.5" outlineLevel="1">
      <c r="B704" s="5"/>
      <c r="C704" s="267"/>
      <c r="D704" s="267" t="s">
        <v>67</v>
      </c>
      <c r="E704" s="320">
        <v>61191173</v>
      </c>
      <c r="F704" s="651" t="s">
        <v>1968</v>
      </c>
      <c r="G704" s="651"/>
      <c r="H704" s="651"/>
      <c r="I704" s="651"/>
      <c r="J704" s="179" t="s">
        <v>65</v>
      </c>
      <c r="K704" s="268">
        <f>(K699)*1.1</f>
        <v>208.17225000000002</v>
      </c>
      <c r="L704" s="652"/>
      <c r="M704" s="652"/>
      <c r="N704" s="653">
        <f>ROUND(L704*K704,2)</f>
        <v>0</v>
      </c>
      <c r="O704" s="619"/>
      <c r="P704" s="619"/>
      <c r="Q704" s="619"/>
      <c r="R704" s="6"/>
      <c r="T704" s="142"/>
    </row>
    <row r="705" spans="2:20" ht="13.5" outlineLevel="1">
      <c r="B705" s="5"/>
      <c r="C705" s="261"/>
      <c r="D705" s="261" t="s">
        <v>64</v>
      </c>
      <c r="E705" s="262">
        <v>998766202</v>
      </c>
      <c r="F705" s="661" t="s">
        <v>1152</v>
      </c>
      <c r="G705" s="662"/>
      <c r="H705" s="662"/>
      <c r="I705" s="663"/>
      <c r="J705" s="174" t="s">
        <v>72</v>
      </c>
      <c r="K705" s="180">
        <f>SUM(N699:Q704)</f>
        <v>0</v>
      </c>
      <c r="L705" s="656"/>
      <c r="M705" s="657"/>
      <c r="N705" s="658">
        <f>ROUND(L705*K705,2)</f>
        <v>0</v>
      </c>
      <c r="O705" s="659"/>
      <c r="P705" s="659"/>
      <c r="Q705" s="660"/>
      <c r="R705" s="6"/>
      <c r="T705" s="142"/>
    </row>
    <row r="706" spans="2:22" s="143" customFormat="1" ht="12.75">
      <c r="B706" s="139"/>
      <c r="C706" s="140"/>
      <c r="D706" s="140" t="s">
        <v>126</v>
      </c>
      <c r="E706" s="140"/>
      <c r="F706" s="140"/>
      <c r="G706" s="140"/>
      <c r="H706" s="140"/>
      <c r="I706" s="140"/>
      <c r="J706" s="172"/>
      <c r="K706" s="140"/>
      <c r="L706" s="186"/>
      <c r="M706" s="186"/>
      <c r="N706" s="633">
        <f>SUM(N707:Q734)</f>
        <v>0</v>
      </c>
      <c r="O706" s="633"/>
      <c r="P706" s="633"/>
      <c r="Q706" s="633"/>
      <c r="R706" s="141"/>
      <c r="T706" s="142">
        <f>SUM(N706:Q734)/2</f>
        <v>0</v>
      </c>
      <c r="U706" s="177"/>
      <c r="V706" s="384"/>
    </row>
    <row r="707" spans="2:21" ht="27" customHeight="1" outlineLevel="1">
      <c r="B707" s="5"/>
      <c r="C707" s="261"/>
      <c r="D707" s="261" t="s">
        <v>64</v>
      </c>
      <c r="E707" s="262">
        <v>596811220</v>
      </c>
      <c r="F707" s="625" t="s">
        <v>474</v>
      </c>
      <c r="G707" s="625"/>
      <c r="H707" s="625"/>
      <c r="I707" s="625"/>
      <c r="J707" s="174" t="s">
        <v>65</v>
      </c>
      <c r="K707" s="264">
        <f>SUM(K708:K708)</f>
        <v>14.13</v>
      </c>
      <c r="L707" s="626"/>
      <c r="M707" s="626"/>
      <c r="N707" s="619">
        <f>ROUND(L707*K707,2)</f>
        <v>0</v>
      </c>
      <c r="O707" s="619"/>
      <c r="P707" s="619"/>
      <c r="Q707" s="619"/>
      <c r="R707" s="6"/>
      <c r="T707" s="199"/>
      <c r="U707" s="4"/>
    </row>
    <row r="708" spans="2:22" s="177" customFormat="1" ht="11.25" customHeight="1" outlineLevel="1">
      <c r="B708" s="175"/>
      <c r="E708" s="319" t="s">
        <v>1153</v>
      </c>
      <c r="F708" s="627" t="s">
        <v>113</v>
      </c>
      <c r="G708" s="628"/>
      <c r="H708" s="628"/>
      <c r="I708" s="628"/>
      <c r="J708" s="176"/>
      <c r="K708" s="266">
        <f>2.92+11.21</f>
        <v>14.13</v>
      </c>
      <c r="L708" s="419"/>
      <c r="M708" s="419"/>
      <c r="R708" s="178"/>
      <c r="T708" s="142"/>
      <c r="V708" s="386"/>
    </row>
    <row r="709" spans="2:20" ht="13.5" outlineLevel="1">
      <c r="B709" s="5"/>
      <c r="C709" s="267"/>
      <c r="D709" s="267" t="s">
        <v>67</v>
      </c>
      <c r="E709" s="320">
        <v>59246003</v>
      </c>
      <c r="F709" s="651" t="s">
        <v>1154</v>
      </c>
      <c r="G709" s="651"/>
      <c r="H709" s="651"/>
      <c r="I709" s="651"/>
      <c r="J709" s="179" t="s">
        <v>65</v>
      </c>
      <c r="K709" s="268">
        <f>K707*1.1</f>
        <v>15.543000000000003</v>
      </c>
      <c r="L709" s="652"/>
      <c r="M709" s="652"/>
      <c r="N709" s="653">
        <f>ROUND(L709*K709,2)</f>
        <v>0</v>
      </c>
      <c r="O709" s="619"/>
      <c r="P709" s="619"/>
      <c r="Q709" s="619"/>
      <c r="R709" s="6"/>
      <c r="T709" s="142"/>
    </row>
    <row r="710" spans="2:20" ht="13.5" outlineLevel="1">
      <c r="B710" s="5"/>
      <c r="C710" s="261"/>
      <c r="D710" s="261" t="s">
        <v>64</v>
      </c>
      <c r="E710" s="262">
        <v>771121011</v>
      </c>
      <c r="F710" s="625" t="s">
        <v>455</v>
      </c>
      <c r="G710" s="625"/>
      <c r="H710" s="625"/>
      <c r="I710" s="625"/>
      <c r="J710" s="174" t="s">
        <v>65</v>
      </c>
      <c r="K710" s="264">
        <f>SUM(K711:K716)</f>
        <v>137.84</v>
      </c>
      <c r="L710" s="626"/>
      <c r="M710" s="626"/>
      <c r="N710" s="619">
        <f>ROUND(L710*K710,2)</f>
        <v>0</v>
      </c>
      <c r="O710" s="619"/>
      <c r="P710" s="619"/>
      <c r="Q710" s="619"/>
      <c r="R710" s="6"/>
      <c r="T710" s="142"/>
    </row>
    <row r="711" spans="2:22" s="177" customFormat="1" ht="11.25" customHeight="1" outlineLevel="1">
      <c r="B711" s="175"/>
      <c r="E711" s="319" t="s">
        <v>922</v>
      </c>
      <c r="F711" s="627" t="s">
        <v>113</v>
      </c>
      <c r="G711" s="628"/>
      <c r="H711" s="628"/>
      <c r="I711" s="628"/>
      <c r="J711" s="176"/>
      <c r="K711" s="266">
        <f>4.24+1.81</f>
        <v>6.050000000000001</v>
      </c>
      <c r="L711" s="419"/>
      <c r="M711" s="419"/>
      <c r="R711" s="178"/>
      <c r="T711" s="142"/>
      <c r="V711" s="386"/>
    </row>
    <row r="712" spans="2:22" s="177" customFormat="1" ht="11.25" customHeight="1" outlineLevel="1">
      <c r="B712" s="175"/>
      <c r="E712" s="319" t="s">
        <v>1077</v>
      </c>
      <c r="F712" s="627" t="s">
        <v>113</v>
      </c>
      <c r="G712" s="628"/>
      <c r="H712" s="628"/>
      <c r="I712" s="628"/>
      <c r="J712" s="176"/>
      <c r="K712" s="266">
        <f>(4.51+2.89+2.55+1.58+1.17*2+3.28+3.02+4.24+28.19+23.93+1.47+1.54)</f>
        <v>79.54</v>
      </c>
      <c r="L712" s="419"/>
      <c r="M712" s="419"/>
      <c r="R712" s="178"/>
      <c r="T712" s="142"/>
      <c r="V712" s="386"/>
    </row>
    <row r="713" spans="2:22" s="177" customFormat="1" ht="11.25" customHeight="1" outlineLevel="1">
      <c r="B713" s="175"/>
      <c r="E713" s="319" t="s">
        <v>1080</v>
      </c>
      <c r="F713" s="627" t="s">
        <v>113</v>
      </c>
      <c r="G713" s="628"/>
      <c r="H713" s="628"/>
      <c r="I713" s="628"/>
      <c r="J713" s="176"/>
      <c r="K713" s="266">
        <f>(3.03+4.4+7.62+6.73+2.36)</f>
        <v>24.14</v>
      </c>
      <c r="L713" s="419"/>
      <c r="M713" s="419"/>
      <c r="R713" s="178"/>
      <c r="T713" s="142"/>
      <c r="V713" s="386"/>
    </row>
    <row r="714" spans="2:22" s="177" customFormat="1" ht="11.25" customHeight="1" outlineLevel="1">
      <c r="B714" s="175"/>
      <c r="E714" s="319" t="s">
        <v>2028</v>
      </c>
      <c r="F714" s="627" t="s">
        <v>113</v>
      </c>
      <c r="G714" s="627"/>
      <c r="H714" s="627"/>
      <c r="I714" s="627"/>
      <c r="J714" s="176"/>
      <c r="K714" s="266">
        <f>(4.39+1.6+1.63+1.58+2.1)</f>
        <v>11.299999999999999</v>
      </c>
      <c r="L714" s="419"/>
      <c r="M714" s="419"/>
      <c r="R714" s="178"/>
      <c r="T714" s="142"/>
      <c r="V714" s="386"/>
    </row>
    <row r="715" spans="2:22" s="177" customFormat="1" ht="11.25" customHeight="1" outlineLevel="1">
      <c r="B715" s="175"/>
      <c r="E715" s="319" t="s">
        <v>1083</v>
      </c>
      <c r="F715" s="627" t="s">
        <v>113</v>
      </c>
      <c r="G715" s="628"/>
      <c r="H715" s="628"/>
      <c r="I715" s="628"/>
      <c r="J715" s="176"/>
      <c r="K715" s="266">
        <f>9.9</f>
        <v>9.9</v>
      </c>
      <c r="L715" s="419"/>
      <c r="M715" s="419"/>
      <c r="R715" s="178"/>
      <c r="T715" s="142"/>
      <c r="V715" s="386"/>
    </row>
    <row r="716" spans="2:22" s="177" customFormat="1" ht="11.25" customHeight="1" outlineLevel="1">
      <c r="B716" s="175"/>
      <c r="E716" s="319" t="s">
        <v>924</v>
      </c>
      <c r="F716" s="627" t="s">
        <v>113</v>
      </c>
      <c r="G716" s="628"/>
      <c r="H716" s="628"/>
      <c r="I716" s="628"/>
      <c r="J716" s="176"/>
      <c r="K716" s="266">
        <f>6.91</f>
        <v>6.91</v>
      </c>
      <c r="L716" s="419"/>
      <c r="M716" s="419"/>
      <c r="R716" s="178"/>
      <c r="T716" s="142"/>
      <c r="V716" s="386"/>
    </row>
    <row r="717" spans="2:20" ht="13.5" outlineLevel="1">
      <c r="B717" s="5"/>
      <c r="C717" s="261"/>
      <c r="D717" s="261" t="s">
        <v>64</v>
      </c>
      <c r="E717" s="262">
        <v>771151021</v>
      </c>
      <c r="F717" s="625" t="s">
        <v>1155</v>
      </c>
      <c r="G717" s="625"/>
      <c r="H717" s="625"/>
      <c r="I717" s="625"/>
      <c r="J717" s="174" t="s">
        <v>65</v>
      </c>
      <c r="K717" s="264">
        <f>K710</f>
        <v>137.84</v>
      </c>
      <c r="L717" s="626"/>
      <c r="M717" s="626"/>
      <c r="N717" s="619">
        <f>ROUND(L717*K717,2)</f>
        <v>0</v>
      </c>
      <c r="O717" s="619"/>
      <c r="P717" s="619"/>
      <c r="Q717" s="619"/>
      <c r="R717" s="6"/>
      <c r="T717" s="142"/>
    </row>
    <row r="718" spans="2:20" ht="13.5" outlineLevel="1">
      <c r="B718" s="5"/>
      <c r="C718" s="261"/>
      <c r="D718" s="261" t="s">
        <v>64</v>
      </c>
      <c r="E718" s="262">
        <v>771591112</v>
      </c>
      <c r="F718" s="625" t="s">
        <v>174</v>
      </c>
      <c r="G718" s="625"/>
      <c r="H718" s="625"/>
      <c r="I718" s="625"/>
      <c r="J718" s="174" t="s">
        <v>65</v>
      </c>
      <c r="K718" s="264">
        <f>SUM(K719:K719)</f>
        <v>36.459999999999994</v>
      </c>
      <c r="L718" s="626"/>
      <c r="M718" s="626"/>
      <c r="N718" s="619">
        <f>ROUND(L718*K718,2)</f>
        <v>0</v>
      </c>
      <c r="O718" s="619"/>
      <c r="P718" s="619"/>
      <c r="Q718" s="619"/>
      <c r="R718" s="6"/>
      <c r="T718" s="142"/>
    </row>
    <row r="719" spans="2:22" s="177" customFormat="1" ht="13.5" outlineLevel="1">
      <c r="B719" s="175"/>
      <c r="E719" s="319" t="s">
        <v>448</v>
      </c>
      <c r="F719" s="627" t="s">
        <v>113</v>
      </c>
      <c r="G719" s="628"/>
      <c r="H719" s="628"/>
      <c r="I719" s="628"/>
      <c r="J719" s="176"/>
      <c r="K719" s="266">
        <f>1.47+1.54+2.89+2.55+1.58+1.17*2+3.28+3.02+4.39+1.6+1.63+1.58+2.1+2.36+2.26+1.87</f>
        <v>36.459999999999994</v>
      </c>
      <c r="L719" s="419"/>
      <c r="M719" s="419"/>
      <c r="R719" s="178"/>
      <c r="T719" s="142"/>
      <c r="V719" s="386"/>
    </row>
    <row r="720" spans="2:20" ht="13.5" outlineLevel="1">
      <c r="B720" s="5"/>
      <c r="C720" s="261"/>
      <c r="D720" s="261" t="s">
        <v>64</v>
      </c>
      <c r="E720" s="262">
        <v>771591264</v>
      </c>
      <c r="F720" s="625" t="s">
        <v>175</v>
      </c>
      <c r="G720" s="625"/>
      <c r="H720" s="625"/>
      <c r="I720" s="625"/>
      <c r="J720" s="174" t="s">
        <v>70</v>
      </c>
      <c r="K720" s="264">
        <f>43</f>
        <v>43</v>
      </c>
      <c r="L720" s="626"/>
      <c r="M720" s="626"/>
      <c r="N720" s="619">
        <f>ROUND(L720*K720,2)</f>
        <v>0</v>
      </c>
      <c r="O720" s="619"/>
      <c r="P720" s="619"/>
      <c r="Q720" s="619"/>
      <c r="R720" s="6"/>
      <c r="T720" s="142"/>
    </row>
    <row r="721" spans="2:20" ht="30.75" customHeight="1" outlineLevel="1">
      <c r="B721" s="5"/>
      <c r="C721" s="261"/>
      <c r="D721" s="261" t="s">
        <v>64</v>
      </c>
      <c r="E721" s="262">
        <v>771531047</v>
      </c>
      <c r="F721" s="625" t="s">
        <v>1160</v>
      </c>
      <c r="G721" s="625"/>
      <c r="H721" s="625"/>
      <c r="I721" s="625"/>
      <c r="J721" s="174" t="s">
        <v>65</v>
      </c>
      <c r="K721" s="264">
        <f>SUM(K722:K722)</f>
        <v>24.14</v>
      </c>
      <c r="L721" s="626"/>
      <c r="M721" s="626"/>
      <c r="N721" s="619">
        <f>ROUND(L721*K721,2)</f>
        <v>0</v>
      </c>
      <c r="O721" s="619"/>
      <c r="P721" s="619"/>
      <c r="Q721" s="619"/>
      <c r="R721" s="6"/>
      <c r="T721" s="142"/>
    </row>
    <row r="722" spans="2:22" s="177" customFormat="1" ht="11.25" customHeight="1" outlineLevel="1">
      <c r="B722" s="175"/>
      <c r="E722" s="319" t="s">
        <v>1080</v>
      </c>
      <c r="F722" s="627" t="s">
        <v>113</v>
      </c>
      <c r="G722" s="628"/>
      <c r="H722" s="628"/>
      <c r="I722" s="628"/>
      <c r="J722" s="176"/>
      <c r="K722" s="266">
        <f>(3.03+4.4+7.62+6.73+2.36)</f>
        <v>24.14</v>
      </c>
      <c r="L722" s="419"/>
      <c r="M722" s="419"/>
      <c r="R722" s="178"/>
      <c r="T722" s="142"/>
      <c r="V722" s="386"/>
    </row>
    <row r="723" spans="2:20" ht="30.75" customHeight="1" outlineLevel="1">
      <c r="B723" s="5"/>
      <c r="C723" s="261"/>
      <c r="D723" s="261" t="s">
        <v>64</v>
      </c>
      <c r="E723" s="262">
        <v>771574154</v>
      </c>
      <c r="F723" s="625" t="s">
        <v>176</v>
      </c>
      <c r="G723" s="625"/>
      <c r="H723" s="625"/>
      <c r="I723" s="625"/>
      <c r="J723" s="174" t="s">
        <v>65</v>
      </c>
      <c r="K723" s="264">
        <f>SUM(K724:K724)</f>
        <v>77.24000000000001</v>
      </c>
      <c r="L723" s="626"/>
      <c r="M723" s="626"/>
      <c r="N723" s="619">
        <f>ROUND(L723*K723,2)</f>
        <v>0</v>
      </c>
      <c r="O723" s="619"/>
      <c r="P723" s="619"/>
      <c r="Q723" s="619"/>
      <c r="R723" s="6"/>
      <c r="T723" s="142"/>
    </row>
    <row r="724" spans="2:22" s="177" customFormat="1" ht="11.25" customHeight="1" outlineLevel="1">
      <c r="B724" s="175"/>
      <c r="E724" s="319" t="s">
        <v>1156</v>
      </c>
      <c r="F724" s="627" t="s">
        <v>113</v>
      </c>
      <c r="G724" s="628"/>
      <c r="H724" s="628"/>
      <c r="I724" s="628"/>
      <c r="J724" s="176"/>
      <c r="K724" s="266">
        <f>K710-K721-K726</f>
        <v>77.24000000000001</v>
      </c>
      <c r="L724" s="419"/>
      <c r="M724" s="419"/>
      <c r="R724" s="178"/>
      <c r="T724" s="142"/>
      <c r="V724" s="386"/>
    </row>
    <row r="725" spans="2:20" ht="28.5" customHeight="1" outlineLevel="1">
      <c r="B725" s="5"/>
      <c r="C725" s="267"/>
      <c r="D725" s="267" t="s">
        <v>67</v>
      </c>
      <c r="E725" s="320">
        <v>59761420</v>
      </c>
      <c r="F725" s="651" t="s">
        <v>177</v>
      </c>
      <c r="G725" s="651"/>
      <c r="H725" s="651"/>
      <c r="I725" s="651"/>
      <c r="J725" s="179" t="s">
        <v>65</v>
      </c>
      <c r="K725" s="268">
        <f>K723*1.1</f>
        <v>84.96400000000001</v>
      </c>
      <c r="L725" s="652"/>
      <c r="M725" s="652"/>
      <c r="N725" s="653">
        <f>ROUND(L725*K725,2)</f>
        <v>0</v>
      </c>
      <c r="O725" s="619"/>
      <c r="P725" s="619"/>
      <c r="Q725" s="619"/>
      <c r="R725" s="6"/>
      <c r="T725" s="142"/>
    </row>
    <row r="726" spans="2:20" ht="13.5" outlineLevel="1">
      <c r="B726" s="5"/>
      <c r="C726" s="261"/>
      <c r="D726" s="261" t="s">
        <v>64</v>
      </c>
      <c r="E726" s="262">
        <v>771574114</v>
      </c>
      <c r="F726" s="625" t="s">
        <v>449</v>
      </c>
      <c r="G726" s="625"/>
      <c r="H726" s="625"/>
      <c r="I726" s="625"/>
      <c r="J726" s="174" t="s">
        <v>65</v>
      </c>
      <c r="K726" s="264">
        <f>SUM(K727:K727)</f>
        <v>36.459999999999994</v>
      </c>
      <c r="L726" s="626"/>
      <c r="M726" s="626"/>
      <c r="N726" s="619">
        <f>ROUND(L726*K726,2)</f>
        <v>0</v>
      </c>
      <c r="O726" s="619"/>
      <c r="P726" s="619"/>
      <c r="Q726" s="619"/>
      <c r="R726" s="6"/>
      <c r="T726" s="142"/>
    </row>
    <row r="727" spans="2:22" s="177" customFormat="1" ht="11.25" customHeight="1" outlineLevel="1">
      <c r="B727" s="175"/>
      <c r="E727" s="319" t="s">
        <v>1157</v>
      </c>
      <c r="F727" s="627" t="s">
        <v>113</v>
      </c>
      <c r="G727" s="628"/>
      <c r="H727" s="628"/>
      <c r="I727" s="628"/>
      <c r="J727" s="176"/>
      <c r="K727" s="266">
        <f>K718</f>
        <v>36.459999999999994</v>
      </c>
      <c r="L727" s="419"/>
      <c r="M727" s="419"/>
      <c r="R727" s="178"/>
      <c r="T727" s="142"/>
      <c r="V727" s="386"/>
    </row>
    <row r="728" spans="2:20" ht="13.5" outlineLevel="1">
      <c r="B728" s="5"/>
      <c r="C728" s="267"/>
      <c r="D728" s="267" t="s">
        <v>67</v>
      </c>
      <c r="E728" s="320">
        <v>59761012</v>
      </c>
      <c r="F728" s="651" t="s">
        <v>450</v>
      </c>
      <c r="G728" s="651"/>
      <c r="H728" s="651"/>
      <c r="I728" s="651"/>
      <c r="J728" s="179" t="s">
        <v>65</v>
      </c>
      <c r="K728" s="268">
        <f>K726*1.1</f>
        <v>40.105999999999995</v>
      </c>
      <c r="L728" s="652"/>
      <c r="M728" s="652"/>
      <c r="N728" s="653">
        <f>ROUND(L728*K728,2)</f>
        <v>0</v>
      </c>
      <c r="O728" s="619"/>
      <c r="P728" s="619"/>
      <c r="Q728" s="619"/>
      <c r="R728" s="6"/>
      <c r="T728" s="142"/>
    </row>
    <row r="729" spans="2:20" ht="13.5" outlineLevel="1">
      <c r="B729" s="5"/>
      <c r="C729" s="261"/>
      <c r="D729" s="261" t="s">
        <v>64</v>
      </c>
      <c r="E729" s="262">
        <v>771591115</v>
      </c>
      <c r="F729" s="625" t="s">
        <v>451</v>
      </c>
      <c r="G729" s="625"/>
      <c r="H729" s="625"/>
      <c r="I729" s="625"/>
      <c r="J729" s="174" t="s">
        <v>70</v>
      </c>
      <c r="K729" s="264">
        <f>SUM(K730:K730)</f>
        <v>104.99999999999999</v>
      </c>
      <c r="L729" s="626"/>
      <c r="M729" s="626"/>
      <c r="N729" s="619">
        <f>ROUND(L729*K729,2)</f>
        <v>0</v>
      </c>
      <c r="O729" s="619"/>
      <c r="P729" s="619"/>
      <c r="Q729" s="619"/>
      <c r="R729" s="6"/>
      <c r="T729" s="142"/>
    </row>
    <row r="730" spans="2:22" s="177" customFormat="1" ht="13.5" outlineLevel="1">
      <c r="B730" s="175"/>
      <c r="E730" s="319"/>
      <c r="F730" s="627" t="s">
        <v>113</v>
      </c>
      <c r="G730" s="628"/>
      <c r="H730" s="628"/>
      <c r="I730" s="628"/>
      <c r="J730" s="176"/>
      <c r="K730" s="266">
        <f>(2.6*2+0.9*2+1*3+1.5*3+3.1+1.4+2.3+0.9+1.9+1.3+1.2*2+1.8*3+1.7*3+1.7*2+2.9+1.6+2.6+1.3+2.4)*2</f>
        <v>104.99999999999999</v>
      </c>
      <c r="L730" s="419"/>
      <c r="M730" s="419"/>
      <c r="R730" s="178"/>
      <c r="T730" s="142"/>
      <c r="V730" s="386"/>
    </row>
    <row r="731" spans="2:20" ht="13.5" outlineLevel="1">
      <c r="B731" s="5"/>
      <c r="C731" s="261"/>
      <c r="D731" s="261" t="s">
        <v>64</v>
      </c>
      <c r="E731" s="262">
        <v>771474113</v>
      </c>
      <c r="F731" s="625" t="s">
        <v>452</v>
      </c>
      <c r="G731" s="625"/>
      <c r="H731" s="625"/>
      <c r="I731" s="625"/>
      <c r="J731" s="174" t="s">
        <v>70</v>
      </c>
      <c r="K731" s="264">
        <f>SUM(K732:K732)</f>
        <v>51.4</v>
      </c>
      <c r="L731" s="626"/>
      <c r="M731" s="626"/>
      <c r="N731" s="619">
        <f>ROUND(L731*K731,2)</f>
        <v>0</v>
      </c>
      <c r="O731" s="619"/>
      <c r="P731" s="619"/>
      <c r="Q731" s="619"/>
      <c r="R731" s="6"/>
      <c r="T731" s="142"/>
    </row>
    <row r="732" spans="2:22" s="177" customFormat="1" ht="13.5" outlineLevel="1">
      <c r="B732" s="175"/>
      <c r="E732" s="319" t="s">
        <v>1158</v>
      </c>
      <c r="F732" s="627" t="s">
        <v>113</v>
      </c>
      <c r="G732" s="628"/>
      <c r="H732" s="628"/>
      <c r="I732" s="628"/>
      <c r="J732" s="176"/>
      <c r="K732" s="266">
        <f>(1.4*2+6.6*2+8.3+1.4)*2</f>
        <v>51.4</v>
      </c>
      <c r="L732" s="419"/>
      <c r="M732" s="419"/>
      <c r="R732" s="178"/>
      <c r="T732" s="142"/>
      <c r="V732" s="386"/>
    </row>
    <row r="733" spans="2:20" ht="13.5" customHeight="1" outlineLevel="1">
      <c r="B733" s="5"/>
      <c r="C733" s="267"/>
      <c r="D733" s="267" t="s">
        <v>71</v>
      </c>
      <c r="E733" s="320" t="s">
        <v>454</v>
      </c>
      <c r="F733" s="651" t="s">
        <v>453</v>
      </c>
      <c r="G733" s="651"/>
      <c r="H733" s="651"/>
      <c r="I733" s="651"/>
      <c r="J733" s="179" t="s">
        <v>70</v>
      </c>
      <c r="K733" s="268">
        <f>K731*1.1</f>
        <v>56.540000000000006</v>
      </c>
      <c r="L733" s="652"/>
      <c r="M733" s="652"/>
      <c r="N733" s="653">
        <f>ROUND(L733*K733,2)</f>
        <v>0</v>
      </c>
      <c r="O733" s="619"/>
      <c r="P733" s="619"/>
      <c r="Q733" s="619"/>
      <c r="R733" s="6"/>
      <c r="T733" s="142"/>
    </row>
    <row r="734" spans="2:20" ht="13.5" outlineLevel="1">
      <c r="B734" s="5"/>
      <c r="C734" s="261"/>
      <c r="D734" s="261" t="s">
        <v>64</v>
      </c>
      <c r="E734" s="262">
        <v>998771202</v>
      </c>
      <c r="F734" s="625" t="s">
        <v>1159</v>
      </c>
      <c r="G734" s="625"/>
      <c r="H734" s="625"/>
      <c r="I734" s="625"/>
      <c r="J734" s="174" t="s">
        <v>72</v>
      </c>
      <c r="K734" s="180">
        <f>SUM(N707:Q733)</f>
        <v>0</v>
      </c>
      <c r="L734" s="666"/>
      <c r="M734" s="666"/>
      <c r="N734" s="619">
        <f>ROUND(L734*K734,2)</f>
        <v>0</v>
      </c>
      <c r="O734" s="619"/>
      <c r="P734" s="619"/>
      <c r="Q734" s="619"/>
      <c r="R734" s="6"/>
      <c r="T734" s="142"/>
    </row>
    <row r="735" spans="2:22" s="143" customFormat="1" ht="12.75">
      <c r="B735" s="139"/>
      <c r="C735" s="140"/>
      <c r="D735" s="140" t="s">
        <v>462</v>
      </c>
      <c r="E735" s="140"/>
      <c r="F735" s="140"/>
      <c r="G735" s="140"/>
      <c r="H735" s="140"/>
      <c r="I735" s="140"/>
      <c r="J735" s="172"/>
      <c r="K735" s="140"/>
      <c r="L735" s="186"/>
      <c r="M735" s="186"/>
      <c r="N735" s="633">
        <f>SUM(N736:Q741)</f>
        <v>0</v>
      </c>
      <c r="O735" s="633"/>
      <c r="P735" s="633"/>
      <c r="Q735" s="633"/>
      <c r="R735" s="141"/>
      <c r="T735" s="142">
        <f>SUM(N735:Q741)/2</f>
        <v>0</v>
      </c>
      <c r="U735" s="177"/>
      <c r="V735" s="384"/>
    </row>
    <row r="736" spans="2:20" ht="11.25" customHeight="1" outlineLevel="1">
      <c r="B736" s="5"/>
      <c r="C736" s="261"/>
      <c r="D736" s="261" t="s">
        <v>64</v>
      </c>
      <c r="E736" s="262">
        <v>772591914</v>
      </c>
      <c r="F736" s="625" t="s">
        <v>463</v>
      </c>
      <c r="G736" s="625"/>
      <c r="H736" s="625"/>
      <c r="I736" s="625"/>
      <c r="J736" s="174" t="s">
        <v>65</v>
      </c>
      <c r="K736" s="264">
        <f>SUM(K737:K737)</f>
        <v>17.009999999999998</v>
      </c>
      <c r="L736" s="626"/>
      <c r="M736" s="626"/>
      <c r="N736" s="619">
        <f>ROUND(L736*K736,2)</f>
        <v>0</v>
      </c>
      <c r="O736" s="619"/>
      <c r="P736" s="619"/>
      <c r="Q736" s="619"/>
      <c r="R736" s="6"/>
      <c r="T736" s="142"/>
    </row>
    <row r="737" spans="2:22" s="177" customFormat="1" ht="13.5" outlineLevel="1">
      <c r="B737" s="175"/>
      <c r="E737" s="319" t="s">
        <v>1161</v>
      </c>
      <c r="F737" s="627" t="s">
        <v>113</v>
      </c>
      <c r="G737" s="628"/>
      <c r="H737" s="628"/>
      <c r="I737" s="628"/>
      <c r="J737" s="176"/>
      <c r="K737" s="266">
        <f>2.84+2.9+11.27</f>
        <v>17.009999999999998</v>
      </c>
      <c r="L737" s="419"/>
      <c r="M737" s="419"/>
      <c r="R737" s="178"/>
      <c r="T737" s="142"/>
      <c r="V737" s="386"/>
    </row>
    <row r="738" spans="2:20" ht="11.25" customHeight="1" outlineLevel="1">
      <c r="B738" s="5"/>
      <c r="C738" s="261"/>
      <c r="D738" s="261" t="s">
        <v>64</v>
      </c>
      <c r="E738" s="262">
        <v>772591912</v>
      </c>
      <c r="F738" s="625" t="s">
        <v>464</v>
      </c>
      <c r="G738" s="625"/>
      <c r="H738" s="625"/>
      <c r="I738" s="625"/>
      <c r="J738" s="174" t="s">
        <v>65</v>
      </c>
      <c r="K738" s="264">
        <f>K736</f>
        <v>17.009999999999998</v>
      </c>
      <c r="L738" s="626"/>
      <c r="M738" s="626"/>
      <c r="N738" s="619">
        <f>ROUND(L738*K738,2)</f>
        <v>0</v>
      </c>
      <c r="O738" s="619"/>
      <c r="P738" s="619"/>
      <c r="Q738" s="619"/>
      <c r="R738" s="6"/>
      <c r="T738" s="142"/>
    </row>
    <row r="739" spans="2:20" ht="13.5" outlineLevel="1">
      <c r="B739" s="5"/>
      <c r="C739" s="261"/>
      <c r="D739" s="261" t="s">
        <v>64</v>
      </c>
      <c r="E739" s="262">
        <v>772591922</v>
      </c>
      <c r="F739" s="625" t="s">
        <v>465</v>
      </c>
      <c r="G739" s="625"/>
      <c r="H739" s="625"/>
      <c r="I739" s="625"/>
      <c r="J739" s="174" t="s">
        <v>65</v>
      </c>
      <c r="K739" s="264">
        <f>K736</f>
        <v>17.009999999999998</v>
      </c>
      <c r="L739" s="626"/>
      <c r="M739" s="626"/>
      <c r="N739" s="619">
        <f>ROUND(L739*K739,2)</f>
        <v>0</v>
      </c>
      <c r="O739" s="619"/>
      <c r="P739" s="619"/>
      <c r="Q739" s="619"/>
      <c r="R739" s="6"/>
      <c r="T739" s="142"/>
    </row>
    <row r="740" spans="2:20" ht="13.5" outlineLevel="1">
      <c r="B740" s="5"/>
      <c r="C740" s="261"/>
      <c r="D740" s="261" t="s">
        <v>64</v>
      </c>
      <c r="E740" s="262" t="s">
        <v>466</v>
      </c>
      <c r="F740" s="625" t="s">
        <v>467</v>
      </c>
      <c r="G740" s="625"/>
      <c r="H740" s="625"/>
      <c r="I740" s="625"/>
      <c r="J740" s="174" t="s">
        <v>65</v>
      </c>
      <c r="K740" s="264">
        <f>K737</f>
        <v>17.009999999999998</v>
      </c>
      <c r="L740" s="626"/>
      <c r="M740" s="626"/>
      <c r="N740" s="619">
        <f>ROUND(L740*K740,2)</f>
        <v>0</v>
      </c>
      <c r="O740" s="619"/>
      <c r="P740" s="619"/>
      <c r="Q740" s="619"/>
      <c r="R740" s="6"/>
      <c r="T740" s="142"/>
    </row>
    <row r="741" spans="2:20" ht="13.5" outlineLevel="1">
      <c r="B741" s="5"/>
      <c r="C741" s="261"/>
      <c r="D741" s="261" t="s">
        <v>64</v>
      </c>
      <c r="E741" s="262">
        <v>998772202</v>
      </c>
      <c r="F741" s="625" t="s">
        <v>1163</v>
      </c>
      <c r="G741" s="625"/>
      <c r="H741" s="625"/>
      <c r="I741" s="625"/>
      <c r="J741" s="174" t="s">
        <v>72</v>
      </c>
      <c r="K741" s="180">
        <f>SUM(N736:Q740)</f>
        <v>0</v>
      </c>
      <c r="L741" s="666"/>
      <c r="M741" s="666"/>
      <c r="N741" s="619">
        <f>ROUND(L741*K741,2)</f>
        <v>0</v>
      </c>
      <c r="O741" s="619"/>
      <c r="P741" s="619"/>
      <c r="Q741" s="619"/>
      <c r="R741" s="6"/>
      <c r="T741" s="142"/>
    </row>
    <row r="742" spans="2:22" s="143" customFormat="1" ht="12.75">
      <c r="B742" s="139"/>
      <c r="C742" s="140"/>
      <c r="D742" s="140" t="s">
        <v>1164</v>
      </c>
      <c r="E742" s="140"/>
      <c r="F742" s="140"/>
      <c r="G742" s="140"/>
      <c r="H742" s="140"/>
      <c r="I742" s="140"/>
      <c r="J742" s="172"/>
      <c r="K742" s="140"/>
      <c r="L742" s="186"/>
      <c r="M742" s="186"/>
      <c r="N742" s="633">
        <f>SUM(N743:Q752)</f>
        <v>0</v>
      </c>
      <c r="O742" s="633"/>
      <c r="P742" s="633"/>
      <c r="Q742" s="633"/>
      <c r="R742" s="141"/>
      <c r="T742" s="142">
        <f>SUM(N742:Q752)/2</f>
        <v>0</v>
      </c>
      <c r="U742" s="177"/>
      <c r="V742" s="384"/>
    </row>
    <row r="743" spans="2:20" ht="11.25" customHeight="1" outlineLevel="1">
      <c r="B743" s="5"/>
      <c r="C743" s="261"/>
      <c r="D743" s="261" t="s">
        <v>64</v>
      </c>
      <c r="E743" s="262">
        <v>773511260</v>
      </c>
      <c r="F743" s="625" t="s">
        <v>1165</v>
      </c>
      <c r="G743" s="625"/>
      <c r="H743" s="625"/>
      <c r="I743" s="625"/>
      <c r="J743" s="174" t="s">
        <v>65</v>
      </c>
      <c r="K743" s="264">
        <f>SUM(K744:K747)</f>
        <v>205.38000000000002</v>
      </c>
      <c r="L743" s="626"/>
      <c r="M743" s="626"/>
      <c r="N743" s="619">
        <f>ROUND(L743*K743,2)</f>
        <v>0</v>
      </c>
      <c r="O743" s="619"/>
      <c r="P743" s="619"/>
      <c r="Q743" s="619"/>
      <c r="R743" s="6"/>
      <c r="T743" s="142"/>
    </row>
    <row r="744" spans="2:22" s="177" customFormat="1" ht="13.5" outlineLevel="1">
      <c r="B744" s="175"/>
      <c r="E744" s="319" t="s">
        <v>1078</v>
      </c>
      <c r="F744" s="627" t="s">
        <v>113</v>
      </c>
      <c r="G744" s="628"/>
      <c r="H744" s="628"/>
      <c r="I744" s="628"/>
      <c r="J744" s="176"/>
      <c r="K744" s="266">
        <f>(20+17.25+40.52+27.72+22.76+30.61)</f>
        <v>158.86</v>
      </c>
      <c r="L744" s="419"/>
      <c r="M744" s="419"/>
      <c r="R744" s="178"/>
      <c r="T744" s="142"/>
      <c r="V744" s="386"/>
    </row>
    <row r="745" spans="2:22" s="177" customFormat="1" ht="11.25" customHeight="1" outlineLevel="1">
      <c r="B745" s="175"/>
      <c r="E745" s="319" t="s">
        <v>1079</v>
      </c>
      <c r="F745" s="627" t="s">
        <v>113</v>
      </c>
      <c r="G745" s="628"/>
      <c r="H745" s="628"/>
      <c r="I745" s="628"/>
      <c r="J745" s="176"/>
      <c r="K745" s="266">
        <f>(27.54+2.07)</f>
        <v>29.61</v>
      </c>
      <c r="L745" s="419"/>
      <c r="M745" s="419"/>
      <c r="R745" s="178"/>
      <c r="T745" s="142"/>
      <c r="V745" s="386"/>
    </row>
    <row r="746" spans="2:22" s="177" customFormat="1" ht="11.25" customHeight="1" outlineLevel="1">
      <c r="B746" s="175"/>
      <c r="E746" s="319" t="s">
        <v>1081</v>
      </c>
      <c r="F746" s="627" t="s">
        <v>113</v>
      </c>
      <c r="G746" s="628"/>
      <c r="H746" s="628"/>
      <c r="I746" s="628"/>
      <c r="J746" s="176"/>
      <c r="K746" s="266">
        <f>2*1.33</f>
        <v>2.66</v>
      </c>
      <c r="L746" s="419"/>
      <c r="M746" s="419"/>
      <c r="R746" s="178"/>
      <c r="T746" s="142"/>
      <c r="V746" s="386"/>
    </row>
    <row r="747" spans="2:22" s="177" customFormat="1" ht="11.25" customHeight="1" outlineLevel="1">
      <c r="B747" s="175"/>
      <c r="E747" s="319" t="s">
        <v>923</v>
      </c>
      <c r="F747" s="627" t="s">
        <v>113</v>
      </c>
      <c r="G747" s="628"/>
      <c r="H747" s="628"/>
      <c r="I747" s="628"/>
      <c r="J747" s="176"/>
      <c r="K747" s="266">
        <f>14.25</f>
        <v>14.25</v>
      </c>
      <c r="L747" s="419"/>
      <c r="M747" s="419"/>
      <c r="R747" s="178"/>
      <c r="T747" s="142"/>
      <c r="V747" s="386"/>
    </row>
    <row r="748" spans="2:20" ht="27" customHeight="1" outlineLevel="1">
      <c r="B748" s="5"/>
      <c r="C748" s="261"/>
      <c r="D748" s="261" t="s">
        <v>64</v>
      </c>
      <c r="E748" s="262">
        <v>773413200</v>
      </c>
      <c r="F748" s="625" t="s">
        <v>1166</v>
      </c>
      <c r="G748" s="625"/>
      <c r="H748" s="625"/>
      <c r="I748" s="625"/>
      <c r="J748" s="174" t="s">
        <v>70</v>
      </c>
      <c r="K748" s="264">
        <f>(3.2+6+13.8+3.5+5.8*2+3.7+4.7+6.6+6.1+5.5+5.6+5.1+7.3+1.1)*2+7.4+1.5</f>
        <v>176.5</v>
      </c>
      <c r="L748" s="626"/>
      <c r="M748" s="626"/>
      <c r="N748" s="619">
        <f>ROUND(L748*K748,2)</f>
        <v>0</v>
      </c>
      <c r="O748" s="619"/>
      <c r="P748" s="619"/>
      <c r="Q748" s="619"/>
      <c r="R748" s="6"/>
      <c r="T748" s="142"/>
    </row>
    <row r="749" spans="2:20" ht="13.5" outlineLevel="1">
      <c r="B749" s="5"/>
      <c r="C749" s="261"/>
      <c r="D749" s="261" t="s">
        <v>64</v>
      </c>
      <c r="E749" s="262" t="s">
        <v>1969</v>
      </c>
      <c r="F749" s="625" t="s">
        <v>1970</v>
      </c>
      <c r="G749" s="625"/>
      <c r="H749" s="625"/>
      <c r="I749" s="625"/>
      <c r="J749" s="174" t="s">
        <v>65</v>
      </c>
      <c r="K749" s="264">
        <f>SUM(K750:K751)</f>
        <v>231.85500000000002</v>
      </c>
      <c r="L749" s="626"/>
      <c r="M749" s="626"/>
      <c r="N749" s="619">
        <f>ROUND(L749*K749,2)</f>
        <v>0</v>
      </c>
      <c r="O749" s="619"/>
      <c r="P749" s="619"/>
      <c r="Q749" s="619"/>
      <c r="R749" s="6"/>
      <c r="T749" s="142"/>
    </row>
    <row r="750" spans="2:22" s="177" customFormat="1" ht="13.5" outlineLevel="1">
      <c r="B750" s="175"/>
      <c r="E750" s="319" t="s">
        <v>764</v>
      </c>
      <c r="F750" s="627" t="s">
        <v>165</v>
      </c>
      <c r="G750" s="628"/>
      <c r="H750" s="628"/>
      <c r="I750" s="628"/>
      <c r="J750" s="176"/>
      <c r="K750" s="266">
        <f>K743</f>
        <v>205.38000000000002</v>
      </c>
      <c r="L750" s="419"/>
      <c r="M750" s="419"/>
      <c r="R750" s="178"/>
      <c r="T750" s="142"/>
      <c r="V750" s="386"/>
    </row>
    <row r="751" spans="2:22" s="177" customFormat="1" ht="11.25" customHeight="1" outlineLevel="1">
      <c r="B751" s="175"/>
      <c r="E751" s="319" t="s">
        <v>1158</v>
      </c>
      <c r="F751" s="627" t="s">
        <v>165</v>
      </c>
      <c r="G751" s="628"/>
      <c r="H751" s="628"/>
      <c r="I751" s="628"/>
      <c r="J751" s="176">
        <v>0.15</v>
      </c>
      <c r="K751" s="266">
        <f>K748*J751</f>
        <v>26.474999999999998</v>
      </c>
      <c r="L751" s="419"/>
      <c r="M751" s="419"/>
      <c r="R751" s="178"/>
      <c r="T751" s="142"/>
      <c r="V751" s="386"/>
    </row>
    <row r="752" spans="2:20" ht="13.5" outlineLevel="1">
      <c r="B752" s="5"/>
      <c r="C752" s="261"/>
      <c r="D752" s="261" t="s">
        <v>64</v>
      </c>
      <c r="E752" s="262">
        <v>998773202</v>
      </c>
      <c r="F752" s="625" t="s">
        <v>1167</v>
      </c>
      <c r="G752" s="625"/>
      <c r="H752" s="625"/>
      <c r="I752" s="625"/>
      <c r="J752" s="174" t="s">
        <v>72</v>
      </c>
      <c r="K752" s="180">
        <f>SUM(N743:Q749)</f>
        <v>0</v>
      </c>
      <c r="L752" s="666"/>
      <c r="M752" s="666"/>
      <c r="N752" s="619">
        <f>ROUND(L752*K752,2)</f>
        <v>0</v>
      </c>
      <c r="O752" s="619"/>
      <c r="P752" s="619"/>
      <c r="Q752" s="619"/>
      <c r="R752" s="6"/>
      <c r="T752" s="142"/>
    </row>
    <row r="753" spans="2:22" s="143" customFormat="1" ht="12.75">
      <c r="B753" s="139"/>
      <c r="C753" s="140"/>
      <c r="D753" s="140" t="s">
        <v>55</v>
      </c>
      <c r="E753" s="140"/>
      <c r="F753" s="140"/>
      <c r="G753" s="140"/>
      <c r="H753" s="140"/>
      <c r="I753" s="140"/>
      <c r="J753" s="172"/>
      <c r="K753" s="140"/>
      <c r="L753" s="186"/>
      <c r="M753" s="186"/>
      <c r="N753" s="633">
        <f>SUM(N754:Q769)</f>
        <v>0</v>
      </c>
      <c r="O753" s="633"/>
      <c r="P753" s="633"/>
      <c r="Q753" s="633"/>
      <c r="R753" s="141"/>
      <c r="T753" s="142">
        <f>SUM(N753:Q769)/2</f>
        <v>0</v>
      </c>
      <c r="U753" s="177"/>
      <c r="V753" s="384"/>
    </row>
    <row r="754" spans="2:20" ht="13.5" outlineLevel="1">
      <c r="B754" s="5"/>
      <c r="C754" s="261"/>
      <c r="D754" s="261" t="s">
        <v>64</v>
      </c>
      <c r="E754" s="262">
        <v>775413115</v>
      </c>
      <c r="F754" s="625" t="s">
        <v>1170</v>
      </c>
      <c r="G754" s="625"/>
      <c r="H754" s="625"/>
      <c r="I754" s="625"/>
      <c r="J754" s="174" t="s">
        <v>70</v>
      </c>
      <c r="K754" s="264">
        <f>SUM(K755)</f>
        <v>214.4</v>
      </c>
      <c r="L754" s="626"/>
      <c r="M754" s="626"/>
      <c r="N754" s="619">
        <f>ROUND(L754*K754,2)</f>
        <v>0</v>
      </c>
      <c r="O754" s="619"/>
      <c r="P754" s="619"/>
      <c r="Q754" s="619"/>
      <c r="R754" s="6"/>
      <c r="T754" s="142"/>
    </row>
    <row r="755" spans="2:22" s="177" customFormat="1" ht="13.5" outlineLevel="1">
      <c r="B755" s="175"/>
      <c r="E755" s="319" t="s">
        <v>1171</v>
      </c>
      <c r="F755" s="627" t="s">
        <v>113</v>
      </c>
      <c r="G755" s="628"/>
      <c r="H755" s="628"/>
      <c r="I755" s="628"/>
      <c r="J755" s="176"/>
      <c r="K755" s="266">
        <f>(5.7+5.9+3.5+5.7+6.3+6.9+5.2+9.6+5.6+5.1+5.8+3+3.8+4.9+16.9+8.5+3.1+1.7)*2</f>
        <v>214.4</v>
      </c>
      <c r="L755" s="419"/>
      <c r="M755" s="419"/>
      <c r="R755" s="178"/>
      <c r="T755" s="142"/>
      <c r="V755" s="386"/>
    </row>
    <row r="756" spans="2:20" ht="13.5" customHeight="1" outlineLevel="1">
      <c r="B756" s="5"/>
      <c r="C756" s="267"/>
      <c r="D756" s="267" t="s">
        <v>67</v>
      </c>
      <c r="E756" s="320">
        <v>61418155</v>
      </c>
      <c r="F756" s="651" t="s">
        <v>1172</v>
      </c>
      <c r="G756" s="651"/>
      <c r="H756" s="651"/>
      <c r="I756" s="651"/>
      <c r="J756" s="179" t="s">
        <v>70</v>
      </c>
      <c r="K756" s="268">
        <f>K754*1.1</f>
        <v>235.84000000000003</v>
      </c>
      <c r="L756" s="652"/>
      <c r="M756" s="652"/>
      <c r="N756" s="653">
        <f>ROUND(L756*K756,2)</f>
        <v>0</v>
      </c>
      <c r="O756" s="619"/>
      <c r="P756" s="619"/>
      <c r="Q756" s="619"/>
      <c r="R756" s="6"/>
      <c r="T756" s="142"/>
    </row>
    <row r="757" spans="2:20" ht="13.5" outlineLevel="1">
      <c r="B757" s="5"/>
      <c r="C757" s="261"/>
      <c r="D757" s="261" t="s">
        <v>64</v>
      </c>
      <c r="E757" s="262">
        <v>762526110</v>
      </c>
      <c r="F757" s="661" t="s">
        <v>1973</v>
      </c>
      <c r="G757" s="662"/>
      <c r="H757" s="662"/>
      <c r="I757" s="663"/>
      <c r="J757" s="174" t="s">
        <v>65</v>
      </c>
      <c r="K757" s="264">
        <f>SUM(K758:K759)</f>
        <v>362.58</v>
      </c>
      <c r="L757" s="626"/>
      <c r="M757" s="626"/>
      <c r="N757" s="658">
        <f>ROUND(L757*K757,2)</f>
        <v>0</v>
      </c>
      <c r="O757" s="659"/>
      <c r="P757" s="659"/>
      <c r="Q757" s="660"/>
      <c r="R757" s="6"/>
      <c r="T757" s="142"/>
    </row>
    <row r="758" spans="2:22" s="177" customFormat="1" ht="11.25" customHeight="1" outlineLevel="1">
      <c r="B758" s="175"/>
      <c r="E758" s="319" t="s">
        <v>1174</v>
      </c>
      <c r="F758" s="627" t="s">
        <v>113</v>
      </c>
      <c r="G758" s="628"/>
      <c r="H758" s="628"/>
      <c r="I758" s="628"/>
      <c r="J758" s="176"/>
      <c r="K758" s="266">
        <f>34+24.54+43.31+50.38+19.5+17.17+27.26</f>
        <v>216.15999999999997</v>
      </c>
      <c r="L758" s="419"/>
      <c r="M758" s="419"/>
      <c r="R758" s="178"/>
      <c r="T758" s="142"/>
      <c r="V758" s="386"/>
    </row>
    <row r="759" spans="2:22" s="177" customFormat="1" ht="11.25" customHeight="1" outlineLevel="1">
      <c r="B759" s="175"/>
      <c r="E759" s="319" t="s">
        <v>1107</v>
      </c>
      <c r="F759" s="627" t="s">
        <v>113</v>
      </c>
      <c r="G759" s="628"/>
      <c r="H759" s="628"/>
      <c r="I759" s="628"/>
      <c r="J759" s="176"/>
      <c r="K759" s="266">
        <f>143.12+3.3</f>
        <v>146.42000000000002</v>
      </c>
      <c r="L759" s="419"/>
      <c r="M759" s="419"/>
      <c r="R759" s="178"/>
      <c r="T759" s="142"/>
      <c r="V759" s="386"/>
    </row>
    <row r="760" spans="2:20" ht="13.5" outlineLevel="1">
      <c r="B760" s="5"/>
      <c r="C760" s="267"/>
      <c r="D760" s="267" t="s">
        <v>67</v>
      </c>
      <c r="E760" s="320">
        <v>60515111</v>
      </c>
      <c r="F760" s="651" t="s">
        <v>1974</v>
      </c>
      <c r="G760" s="651"/>
      <c r="H760" s="651"/>
      <c r="I760" s="651"/>
      <c r="J760" s="179" t="s">
        <v>66</v>
      </c>
      <c r="K760" s="268">
        <f>K757/0.55*0.1*0.025</f>
        <v>1.648090909090909</v>
      </c>
      <c r="L760" s="652"/>
      <c r="M760" s="652"/>
      <c r="N760" s="653">
        <f>ROUND(L760*K760,2)</f>
        <v>0</v>
      </c>
      <c r="O760" s="619"/>
      <c r="P760" s="619"/>
      <c r="Q760" s="619"/>
      <c r="R760" s="6"/>
      <c r="T760" s="142"/>
    </row>
    <row r="761" spans="2:20" ht="13.5" outlineLevel="1">
      <c r="B761" s="5"/>
      <c r="C761" s="261"/>
      <c r="D761" s="261" t="s">
        <v>64</v>
      </c>
      <c r="E761" s="262">
        <v>762524104</v>
      </c>
      <c r="F761" s="661" t="s">
        <v>1975</v>
      </c>
      <c r="G761" s="662"/>
      <c r="H761" s="662"/>
      <c r="I761" s="663"/>
      <c r="J761" s="174" t="s">
        <v>65</v>
      </c>
      <c r="K761" s="264">
        <f>K757</f>
        <v>362.58</v>
      </c>
      <c r="L761" s="626"/>
      <c r="M761" s="626"/>
      <c r="N761" s="658">
        <f>ROUND(L761*K761,2)</f>
        <v>0</v>
      </c>
      <c r="O761" s="659"/>
      <c r="P761" s="659"/>
      <c r="Q761" s="660"/>
      <c r="R761" s="6"/>
      <c r="T761" s="142"/>
    </row>
    <row r="762" spans="2:20" ht="13.5" customHeight="1" outlineLevel="1">
      <c r="B762" s="5"/>
      <c r="C762" s="267"/>
      <c r="D762" s="267" t="s">
        <v>67</v>
      </c>
      <c r="E762" s="320">
        <v>61189990</v>
      </c>
      <c r="F762" s="651" t="s">
        <v>1173</v>
      </c>
      <c r="G762" s="651"/>
      <c r="H762" s="651"/>
      <c r="I762" s="651"/>
      <c r="J762" s="179" t="s">
        <v>65</v>
      </c>
      <c r="K762" s="268">
        <f>SUM(K763:K764)</f>
        <v>256.17240000000004</v>
      </c>
      <c r="L762" s="652"/>
      <c r="M762" s="652"/>
      <c r="N762" s="653">
        <f>ROUND(L762*K762,2)</f>
        <v>0</v>
      </c>
      <c r="O762" s="619"/>
      <c r="P762" s="619"/>
      <c r="Q762" s="619"/>
      <c r="R762" s="6"/>
      <c r="T762" s="142"/>
    </row>
    <row r="763" spans="2:22" s="177" customFormat="1" ht="11.25" customHeight="1" outlineLevel="1">
      <c r="B763" s="175"/>
      <c r="E763" s="319" t="s">
        <v>1174</v>
      </c>
      <c r="F763" s="627" t="s">
        <v>113</v>
      </c>
      <c r="G763" s="628"/>
      <c r="H763" s="628"/>
      <c r="I763" s="628"/>
      <c r="J763" s="314">
        <v>0.4</v>
      </c>
      <c r="K763" s="266">
        <f>(34+24.54+43.31+50.38+19.5+17.17+27.26)*J763*1.1</f>
        <v>95.11040000000001</v>
      </c>
      <c r="L763" s="419"/>
      <c r="M763" s="419"/>
      <c r="R763" s="178"/>
      <c r="T763" s="142"/>
      <c r="V763" s="386"/>
    </row>
    <row r="764" spans="2:22" s="177" customFormat="1" ht="11.25" customHeight="1" outlineLevel="1">
      <c r="B764" s="175"/>
      <c r="E764" s="319" t="s">
        <v>1107</v>
      </c>
      <c r="F764" s="627" t="s">
        <v>113</v>
      </c>
      <c r="G764" s="628"/>
      <c r="H764" s="628"/>
      <c r="I764" s="628"/>
      <c r="J764" s="176">
        <v>1.1</v>
      </c>
      <c r="K764" s="266">
        <f>(143.12+3.3)*J764</f>
        <v>161.06200000000004</v>
      </c>
      <c r="L764" s="419"/>
      <c r="M764" s="419"/>
      <c r="R764" s="178"/>
      <c r="T764" s="142"/>
      <c r="V764" s="386"/>
    </row>
    <row r="765" spans="2:20" ht="13.5" outlineLevel="1">
      <c r="B765" s="5"/>
      <c r="C765" s="261"/>
      <c r="D765" s="261" t="s">
        <v>64</v>
      </c>
      <c r="E765" s="262">
        <v>775591311</v>
      </c>
      <c r="F765" s="625" t="s">
        <v>1175</v>
      </c>
      <c r="G765" s="625"/>
      <c r="H765" s="625"/>
      <c r="I765" s="625"/>
      <c r="J765" s="174" t="s">
        <v>65</v>
      </c>
      <c r="K765" s="264">
        <f>K761</f>
        <v>362.58</v>
      </c>
      <c r="L765" s="626"/>
      <c r="M765" s="626"/>
      <c r="N765" s="619">
        <f>ROUND(L765*K765,2)</f>
        <v>0</v>
      </c>
      <c r="O765" s="619"/>
      <c r="P765" s="619"/>
      <c r="Q765" s="619"/>
      <c r="R765" s="6"/>
      <c r="T765" s="142"/>
    </row>
    <row r="766" spans="2:20" ht="13.5" outlineLevel="1">
      <c r="B766" s="5"/>
      <c r="C766" s="261"/>
      <c r="D766" s="261" t="s">
        <v>64</v>
      </c>
      <c r="E766" s="262">
        <v>775591314</v>
      </c>
      <c r="F766" s="625" t="s">
        <v>1176</v>
      </c>
      <c r="G766" s="625"/>
      <c r="H766" s="625"/>
      <c r="I766" s="625"/>
      <c r="J766" s="174" t="s">
        <v>65</v>
      </c>
      <c r="K766" s="264">
        <f>K765</f>
        <v>362.58</v>
      </c>
      <c r="L766" s="626"/>
      <c r="M766" s="626"/>
      <c r="N766" s="619">
        <f>ROUND(L766*K766,2)</f>
        <v>0</v>
      </c>
      <c r="O766" s="619"/>
      <c r="P766" s="619"/>
      <c r="Q766" s="619"/>
      <c r="R766" s="6"/>
      <c r="T766" s="142"/>
    </row>
    <row r="767" spans="2:20" ht="13.5" outlineLevel="1">
      <c r="B767" s="5"/>
      <c r="C767" s="261"/>
      <c r="D767" s="261" t="s">
        <v>64</v>
      </c>
      <c r="E767" s="262" t="s">
        <v>1177</v>
      </c>
      <c r="F767" s="625" t="s">
        <v>1178</v>
      </c>
      <c r="G767" s="625"/>
      <c r="H767" s="625"/>
      <c r="I767" s="625"/>
      <c r="J767" s="174" t="s">
        <v>65</v>
      </c>
      <c r="K767" s="264">
        <f>K766</f>
        <v>362.58</v>
      </c>
      <c r="L767" s="626"/>
      <c r="M767" s="626"/>
      <c r="N767" s="619">
        <f>ROUND(L767*K767,2)</f>
        <v>0</v>
      </c>
      <c r="O767" s="619"/>
      <c r="P767" s="619"/>
      <c r="Q767" s="619"/>
      <c r="R767" s="6"/>
      <c r="T767" s="142"/>
    </row>
    <row r="768" spans="2:20" ht="13.5" outlineLevel="1">
      <c r="B768" s="5"/>
      <c r="C768" s="261"/>
      <c r="D768" s="261" t="s">
        <v>64</v>
      </c>
      <c r="E768" s="262">
        <v>776991141</v>
      </c>
      <c r="F768" s="625" t="s">
        <v>456</v>
      </c>
      <c r="G768" s="625"/>
      <c r="H768" s="625"/>
      <c r="I768" s="625"/>
      <c r="J768" s="174" t="s">
        <v>65</v>
      </c>
      <c r="K768" s="264">
        <f>K767</f>
        <v>362.58</v>
      </c>
      <c r="L768" s="626"/>
      <c r="M768" s="626"/>
      <c r="N768" s="619">
        <f>ROUND(L768*K768,2)</f>
        <v>0</v>
      </c>
      <c r="O768" s="619"/>
      <c r="P768" s="619"/>
      <c r="Q768" s="619"/>
      <c r="R768" s="6"/>
      <c r="T768" s="142"/>
    </row>
    <row r="769" spans="2:20" ht="13.5" outlineLevel="1">
      <c r="B769" s="5"/>
      <c r="C769" s="261"/>
      <c r="D769" s="261" t="s">
        <v>64</v>
      </c>
      <c r="E769" s="262">
        <v>998775202</v>
      </c>
      <c r="F769" s="625" t="s">
        <v>1162</v>
      </c>
      <c r="G769" s="625"/>
      <c r="H769" s="625"/>
      <c r="I769" s="625"/>
      <c r="J769" s="174" t="s">
        <v>72</v>
      </c>
      <c r="K769" s="180">
        <f>SUM(N754:Q768)</f>
        <v>0</v>
      </c>
      <c r="L769" s="666"/>
      <c r="M769" s="666"/>
      <c r="N769" s="619">
        <f>ROUND(L769*K769,2)</f>
        <v>0</v>
      </c>
      <c r="O769" s="619"/>
      <c r="P769" s="619"/>
      <c r="Q769" s="619"/>
      <c r="R769" s="6"/>
      <c r="T769" s="142"/>
    </row>
    <row r="770" spans="2:22" s="143" customFormat="1" ht="12.75">
      <c r="B770" s="139"/>
      <c r="C770" s="140"/>
      <c r="D770" s="140" t="s">
        <v>457</v>
      </c>
      <c r="E770" s="140"/>
      <c r="F770" s="140"/>
      <c r="G770" s="140"/>
      <c r="H770" s="140"/>
      <c r="I770" s="140"/>
      <c r="J770" s="172"/>
      <c r="K770" s="140"/>
      <c r="L770" s="186"/>
      <c r="M770" s="186"/>
      <c r="N770" s="633">
        <f>SUM(N771:Q780)</f>
        <v>0</v>
      </c>
      <c r="O770" s="633"/>
      <c r="P770" s="633"/>
      <c r="Q770" s="633"/>
      <c r="R770" s="141"/>
      <c r="T770" s="142">
        <f>SUM(N770:Q780)/2</f>
        <v>0</v>
      </c>
      <c r="U770" s="177"/>
      <c r="V770" s="384"/>
    </row>
    <row r="771" spans="2:20" ht="11.25" customHeight="1" outlineLevel="1">
      <c r="B771" s="5"/>
      <c r="C771" s="261"/>
      <c r="D771" s="261" t="s">
        <v>64</v>
      </c>
      <c r="E771" s="262" t="s">
        <v>1179</v>
      </c>
      <c r="F771" s="625" t="s">
        <v>1180</v>
      </c>
      <c r="G771" s="625"/>
      <c r="H771" s="625"/>
      <c r="I771" s="625"/>
      <c r="J771" s="174" t="s">
        <v>65</v>
      </c>
      <c r="K771" s="264">
        <f>SUM(K772:K773)</f>
        <v>51.35</v>
      </c>
      <c r="L771" s="626"/>
      <c r="M771" s="626"/>
      <c r="N771" s="619">
        <f>ROUND(L771*K771,2)</f>
        <v>0</v>
      </c>
      <c r="O771" s="619"/>
      <c r="P771" s="619"/>
      <c r="Q771" s="619"/>
      <c r="R771" s="6"/>
      <c r="T771" s="142"/>
    </row>
    <row r="772" spans="2:22" s="177" customFormat="1" ht="11.25" customHeight="1" outlineLevel="1">
      <c r="B772" s="175"/>
      <c r="E772" s="319" t="s">
        <v>2029</v>
      </c>
      <c r="F772" s="627" t="s">
        <v>113</v>
      </c>
      <c r="G772" s="628"/>
      <c r="H772" s="628"/>
      <c r="I772" s="628"/>
      <c r="J772" s="176"/>
      <c r="K772" s="266">
        <f>(5.77+2.26+1.87)</f>
        <v>9.899999999999999</v>
      </c>
      <c r="L772" s="419"/>
      <c r="M772" s="419"/>
      <c r="R772" s="178"/>
      <c r="T772" s="142"/>
      <c r="V772" s="386"/>
    </row>
    <row r="773" spans="2:22" s="177" customFormat="1" ht="11.25" customHeight="1" outlineLevel="1">
      <c r="B773" s="175"/>
      <c r="E773" s="319" t="s">
        <v>1109</v>
      </c>
      <c r="F773" s="627" t="s">
        <v>113</v>
      </c>
      <c r="G773" s="628"/>
      <c r="H773" s="628"/>
      <c r="I773" s="628"/>
      <c r="J773" s="176"/>
      <c r="K773" s="266">
        <f>16.84+14.96+9.65</f>
        <v>41.45</v>
      </c>
      <c r="L773" s="419"/>
      <c r="M773" s="419"/>
      <c r="R773" s="178"/>
      <c r="T773" s="142"/>
      <c r="V773" s="386"/>
    </row>
    <row r="774" spans="2:20" ht="13.5" outlineLevel="1">
      <c r="B774" s="5"/>
      <c r="C774" s="261"/>
      <c r="D774" s="261" t="s">
        <v>64</v>
      </c>
      <c r="E774" s="262">
        <v>777111111</v>
      </c>
      <c r="F774" s="625" t="s">
        <v>1181</v>
      </c>
      <c r="G774" s="625"/>
      <c r="H774" s="625"/>
      <c r="I774" s="625"/>
      <c r="J774" s="174" t="s">
        <v>65</v>
      </c>
      <c r="K774" s="264">
        <f>K771</f>
        <v>51.35</v>
      </c>
      <c r="L774" s="626"/>
      <c r="M774" s="626"/>
      <c r="N774" s="619">
        <f>ROUND(L774*K774,2)</f>
        <v>0</v>
      </c>
      <c r="O774" s="619"/>
      <c r="P774" s="619"/>
      <c r="Q774" s="619"/>
      <c r="R774" s="6"/>
      <c r="T774" s="142"/>
    </row>
    <row r="775" spans="2:20" ht="13.5" outlineLevel="1">
      <c r="B775" s="5"/>
      <c r="C775" s="261"/>
      <c r="D775" s="261" t="s">
        <v>64</v>
      </c>
      <c r="E775" s="262">
        <v>777131103</v>
      </c>
      <c r="F775" s="625" t="s">
        <v>1182</v>
      </c>
      <c r="G775" s="625"/>
      <c r="H775" s="625"/>
      <c r="I775" s="625"/>
      <c r="J775" s="174" t="s">
        <v>65</v>
      </c>
      <c r="K775" s="264">
        <f>K774</f>
        <v>51.35</v>
      </c>
      <c r="L775" s="626"/>
      <c r="M775" s="626"/>
      <c r="N775" s="619">
        <f>ROUND(L775*K775,2)</f>
        <v>0</v>
      </c>
      <c r="O775" s="619"/>
      <c r="P775" s="619"/>
      <c r="Q775" s="619"/>
      <c r="R775" s="6"/>
      <c r="T775" s="142"/>
    </row>
    <row r="776" spans="2:20" ht="13.5" outlineLevel="1">
      <c r="B776" s="5"/>
      <c r="C776" s="261"/>
      <c r="D776" s="261" t="s">
        <v>64</v>
      </c>
      <c r="E776" s="262">
        <v>777611121</v>
      </c>
      <c r="F776" s="625" t="s">
        <v>458</v>
      </c>
      <c r="G776" s="625"/>
      <c r="H776" s="625"/>
      <c r="I776" s="625"/>
      <c r="J776" s="174" t="s">
        <v>65</v>
      </c>
      <c r="K776" s="264">
        <f>K775</f>
        <v>51.35</v>
      </c>
      <c r="L776" s="626"/>
      <c r="M776" s="626"/>
      <c r="N776" s="619">
        <f>ROUND(L776*K776,2)</f>
        <v>0</v>
      </c>
      <c r="O776" s="619"/>
      <c r="P776" s="619"/>
      <c r="Q776" s="619"/>
      <c r="R776" s="6"/>
      <c r="T776" s="142"/>
    </row>
    <row r="777" spans="2:20" ht="13.5" outlineLevel="1">
      <c r="B777" s="5"/>
      <c r="C777" s="261"/>
      <c r="D777" s="261" t="s">
        <v>64</v>
      </c>
      <c r="E777" s="262" t="s">
        <v>1183</v>
      </c>
      <c r="F777" s="625" t="s">
        <v>1184</v>
      </c>
      <c r="G777" s="625"/>
      <c r="H777" s="625"/>
      <c r="I777" s="625"/>
      <c r="J777" s="174" t="s">
        <v>65</v>
      </c>
      <c r="K777" s="264">
        <f>K771</f>
        <v>51.35</v>
      </c>
      <c r="L777" s="626"/>
      <c r="M777" s="626"/>
      <c r="N777" s="619">
        <f>ROUND(L777*K777,2)</f>
        <v>0</v>
      </c>
      <c r="O777" s="619"/>
      <c r="P777" s="619"/>
      <c r="Q777" s="619"/>
      <c r="R777" s="6"/>
      <c r="T777" s="142"/>
    </row>
    <row r="778" spans="2:20" ht="13.5" outlineLevel="1">
      <c r="B778" s="5"/>
      <c r="C778" s="261"/>
      <c r="D778" s="261" t="s">
        <v>64</v>
      </c>
      <c r="E778" s="262">
        <v>777911111</v>
      </c>
      <c r="F778" s="625" t="s">
        <v>459</v>
      </c>
      <c r="G778" s="625"/>
      <c r="H778" s="625"/>
      <c r="I778" s="625"/>
      <c r="J778" s="174" t="s">
        <v>70</v>
      </c>
      <c r="K778" s="264">
        <f>SUM(K779:K779)</f>
        <v>75.4</v>
      </c>
      <c r="L778" s="626"/>
      <c r="M778" s="626"/>
      <c r="N778" s="619">
        <f>ROUND(L778*K778,2)</f>
        <v>0</v>
      </c>
      <c r="O778" s="619"/>
      <c r="P778" s="619"/>
      <c r="Q778" s="619"/>
      <c r="R778" s="6"/>
      <c r="T778" s="142"/>
    </row>
    <row r="779" spans="2:22" s="177" customFormat="1" ht="13.5" outlineLevel="1">
      <c r="B779" s="175"/>
      <c r="E779" s="319" t="s">
        <v>1185</v>
      </c>
      <c r="F779" s="627" t="s">
        <v>113</v>
      </c>
      <c r="G779" s="628"/>
      <c r="H779" s="628"/>
      <c r="I779" s="628"/>
      <c r="J779" s="176">
        <v>1</v>
      </c>
      <c r="K779" s="266">
        <f>(9.6+1.8+5.5+3.3+3.5+3.3+5.5+2.6*2)*2</f>
        <v>75.4</v>
      </c>
      <c r="L779" s="419"/>
      <c r="M779" s="419"/>
      <c r="R779" s="178"/>
      <c r="T779" s="142"/>
      <c r="V779" s="386"/>
    </row>
    <row r="780" spans="2:20" ht="13.5" outlineLevel="1">
      <c r="B780" s="5"/>
      <c r="C780" s="261"/>
      <c r="D780" s="261" t="s">
        <v>64</v>
      </c>
      <c r="E780" s="262">
        <v>998777202</v>
      </c>
      <c r="F780" s="625" t="s">
        <v>1186</v>
      </c>
      <c r="G780" s="625"/>
      <c r="H780" s="625"/>
      <c r="I780" s="625"/>
      <c r="J780" s="174" t="s">
        <v>72</v>
      </c>
      <c r="K780" s="180">
        <f>SUM(N771:Q779)</f>
        <v>0</v>
      </c>
      <c r="L780" s="666"/>
      <c r="M780" s="666"/>
      <c r="N780" s="619">
        <f>ROUND(L780*K780,2)</f>
        <v>0</v>
      </c>
      <c r="O780" s="619"/>
      <c r="P780" s="619"/>
      <c r="Q780" s="619"/>
      <c r="R780" s="6"/>
      <c r="T780" s="142"/>
    </row>
    <row r="781" spans="2:22" s="143" customFormat="1" ht="12.75">
      <c r="B781" s="139"/>
      <c r="C781" s="140"/>
      <c r="D781" s="140" t="s">
        <v>178</v>
      </c>
      <c r="E781" s="140"/>
      <c r="F781" s="140"/>
      <c r="G781" s="140"/>
      <c r="H781" s="140"/>
      <c r="I781" s="140"/>
      <c r="J781" s="172"/>
      <c r="K781" s="140"/>
      <c r="L781" s="186"/>
      <c r="M781" s="186"/>
      <c r="N781" s="633">
        <f>SUM(N782:Q787)</f>
        <v>0</v>
      </c>
      <c r="O781" s="633"/>
      <c r="P781" s="633"/>
      <c r="Q781" s="633"/>
      <c r="R781" s="141"/>
      <c r="T781" s="142">
        <f>SUM(N781:Q787)/2</f>
        <v>0</v>
      </c>
      <c r="U781" s="177"/>
      <c r="V781" s="384"/>
    </row>
    <row r="782" spans="2:20" ht="13.5" outlineLevel="1">
      <c r="B782" s="5"/>
      <c r="C782" s="261"/>
      <c r="D782" s="261" t="s">
        <v>64</v>
      </c>
      <c r="E782" s="262">
        <v>781121011</v>
      </c>
      <c r="F782" s="625" t="s">
        <v>1188</v>
      </c>
      <c r="G782" s="625"/>
      <c r="H782" s="625"/>
      <c r="I782" s="625"/>
      <c r="J782" s="174" t="s">
        <v>65</v>
      </c>
      <c r="K782" s="264">
        <f>SUM(K783:K783)</f>
        <v>202.85999999999999</v>
      </c>
      <c r="L782" s="626"/>
      <c r="M782" s="626"/>
      <c r="N782" s="619">
        <f>ROUND(L782*K782,2)</f>
        <v>0</v>
      </c>
      <c r="O782" s="619"/>
      <c r="P782" s="619"/>
      <c r="Q782" s="619"/>
      <c r="R782" s="6"/>
      <c r="T782" s="142"/>
    </row>
    <row r="783" spans="2:22" s="197" customFormat="1" ht="37.5" customHeight="1" outlineLevel="1">
      <c r="B783" s="271"/>
      <c r="E783" s="319" t="s">
        <v>1187</v>
      </c>
      <c r="F783" s="627" t="s">
        <v>1203</v>
      </c>
      <c r="G783" s="628" t="e">
        <f>(2.6*2+0.9*2+1*3+1.5*3+3.1+1.4+2.3+0.9+1.9+1.3+1.2*2+1.8*3+1.7*3+1.7*2+2.9+1.6+2.6+1.3+2.4)*2*F783</f>
        <v>#VALUE!</v>
      </c>
      <c r="H783" s="628" t="e">
        <f>(2.6*2+0.9*2+1*3+1.5*3+3.1+1.4+2.3+0.9+1.9+1.3+1.2*2+1.8*3+1.7*3+1.7*2+2.9+1.6+2.6+1.3+2.4)*2*G783</f>
        <v>#VALUE!</v>
      </c>
      <c r="I783" s="628" t="e">
        <f>(2.6*2+0.9*2+1*3+1.5*3+3.1+1.4+2.3+0.9+1.9+1.3+1.2*2+1.8*3+1.7*3+1.7*2+2.9+1.6+2.6+1.3+2.4)*2*H783</f>
        <v>#VALUE!</v>
      </c>
      <c r="J783" s="176">
        <v>1.8</v>
      </c>
      <c r="K783" s="266">
        <f>(2.6*2+0.9*2+1*3+1.5*3+3.1+1.4+2.3+0.9+1.9+1.3+1.2*2+1.8*3+1.7*3+1.7*2+2.9+1.6+2.6+1.3+2.4)*2*J783+7.7*1.8</f>
        <v>202.85999999999999</v>
      </c>
      <c r="L783" s="423"/>
      <c r="M783" s="423"/>
      <c r="R783" s="272"/>
      <c r="T783" s="142"/>
      <c r="U783" s="177"/>
      <c r="V783" s="389"/>
    </row>
    <row r="784" spans="2:20" ht="30.75" customHeight="1" outlineLevel="1">
      <c r="B784" s="5"/>
      <c r="C784" s="261"/>
      <c r="D784" s="261" t="s">
        <v>64</v>
      </c>
      <c r="E784" s="262">
        <v>781474115</v>
      </c>
      <c r="F784" s="625" t="s">
        <v>460</v>
      </c>
      <c r="G784" s="625"/>
      <c r="H784" s="625"/>
      <c r="I784" s="625"/>
      <c r="J784" s="174" t="s">
        <v>65</v>
      </c>
      <c r="K784" s="264">
        <f>K782</f>
        <v>202.85999999999999</v>
      </c>
      <c r="L784" s="626"/>
      <c r="M784" s="626"/>
      <c r="N784" s="619">
        <f>ROUND(L784*K784,2)</f>
        <v>0</v>
      </c>
      <c r="O784" s="619"/>
      <c r="P784" s="619"/>
      <c r="Q784" s="619"/>
      <c r="R784" s="6"/>
      <c r="T784" s="142"/>
    </row>
    <row r="785" spans="2:20" ht="13.5" outlineLevel="1">
      <c r="B785" s="5"/>
      <c r="C785" s="267"/>
      <c r="D785" s="267" t="s">
        <v>67</v>
      </c>
      <c r="E785" s="320">
        <v>59761068</v>
      </c>
      <c r="F785" s="651" t="s">
        <v>461</v>
      </c>
      <c r="G785" s="651"/>
      <c r="H785" s="651"/>
      <c r="I785" s="651"/>
      <c r="J785" s="179" t="s">
        <v>65</v>
      </c>
      <c r="K785" s="268">
        <f>K784*1.1</f>
        <v>223.14600000000002</v>
      </c>
      <c r="L785" s="652"/>
      <c r="M785" s="652"/>
      <c r="N785" s="653">
        <f>ROUND(L785*K785,2)</f>
        <v>0</v>
      </c>
      <c r="O785" s="619"/>
      <c r="P785" s="619"/>
      <c r="Q785" s="619"/>
      <c r="R785" s="6"/>
      <c r="T785" s="142"/>
    </row>
    <row r="786" spans="2:20" ht="13.5" outlineLevel="1">
      <c r="B786" s="5"/>
      <c r="C786" s="261"/>
      <c r="D786" s="261" t="s">
        <v>71</v>
      </c>
      <c r="E786" s="262" t="s">
        <v>179</v>
      </c>
      <c r="F786" s="625" t="s">
        <v>2334</v>
      </c>
      <c r="G786" s="625"/>
      <c r="H786" s="625"/>
      <c r="I786" s="625"/>
      <c r="J786" s="174" t="s">
        <v>70</v>
      </c>
      <c r="K786" s="264">
        <f>K783/J783</f>
        <v>112.69999999999999</v>
      </c>
      <c r="L786" s="626"/>
      <c r="M786" s="626"/>
      <c r="N786" s="619">
        <f>ROUND(L786*K786,2)</f>
        <v>0</v>
      </c>
      <c r="O786" s="619"/>
      <c r="P786" s="619"/>
      <c r="Q786" s="619"/>
      <c r="R786" s="6"/>
      <c r="T786" s="142"/>
    </row>
    <row r="787" spans="2:20" ht="13.5" outlineLevel="1">
      <c r="B787" s="5"/>
      <c r="C787" s="261"/>
      <c r="D787" s="261" t="s">
        <v>64</v>
      </c>
      <c r="E787" s="262">
        <v>998781202</v>
      </c>
      <c r="F787" s="625" t="s">
        <v>1189</v>
      </c>
      <c r="G787" s="625"/>
      <c r="H787" s="625"/>
      <c r="I787" s="625"/>
      <c r="J787" s="174" t="s">
        <v>72</v>
      </c>
      <c r="K787" s="180">
        <f>SUM(N782:Q786)</f>
        <v>0</v>
      </c>
      <c r="L787" s="666"/>
      <c r="M787" s="666"/>
      <c r="N787" s="619">
        <f>ROUND(L787*K787,2)</f>
        <v>0</v>
      </c>
      <c r="O787" s="619"/>
      <c r="P787" s="619"/>
      <c r="Q787" s="619"/>
      <c r="R787" s="6"/>
      <c r="T787" s="142"/>
    </row>
    <row r="788" spans="2:22" s="143" customFormat="1" ht="12.75">
      <c r="B788" s="139"/>
      <c r="C788" s="140"/>
      <c r="D788" s="140" t="s">
        <v>108</v>
      </c>
      <c r="E788" s="140"/>
      <c r="F788" s="140"/>
      <c r="G788" s="140"/>
      <c r="H788" s="140"/>
      <c r="I788" s="140"/>
      <c r="J788" s="172"/>
      <c r="K788" s="140"/>
      <c r="L788" s="186"/>
      <c r="M788" s="186"/>
      <c r="N788" s="633">
        <f>SUM(N789:Q803)</f>
        <v>0</v>
      </c>
      <c r="O788" s="633"/>
      <c r="P788" s="633"/>
      <c r="Q788" s="633"/>
      <c r="R788" s="141"/>
      <c r="T788" s="142">
        <f>SUM(N788:Q803)/2</f>
        <v>0</v>
      </c>
      <c r="U788" s="177"/>
      <c r="V788" s="384"/>
    </row>
    <row r="789" spans="2:20" ht="13.5" outlineLevel="1">
      <c r="B789" s="5"/>
      <c r="C789" s="261"/>
      <c r="D789" s="261" t="s">
        <v>64</v>
      </c>
      <c r="E789" s="262">
        <v>783801503</v>
      </c>
      <c r="F789" s="625" t="s">
        <v>1073</v>
      </c>
      <c r="G789" s="625"/>
      <c r="H789" s="625"/>
      <c r="I789" s="625"/>
      <c r="J789" s="174" t="s">
        <v>65</v>
      </c>
      <c r="K789" s="264">
        <f>SUM(K790)</f>
        <v>717</v>
      </c>
      <c r="L789" s="626"/>
      <c r="M789" s="626"/>
      <c r="N789" s="619">
        <f>ROUND(L789*K789,2)</f>
        <v>0</v>
      </c>
      <c r="O789" s="619"/>
      <c r="P789" s="619"/>
      <c r="Q789" s="619"/>
      <c r="R789" s="6"/>
      <c r="T789" s="142"/>
    </row>
    <row r="790" spans="2:22" s="177" customFormat="1" ht="13.5" outlineLevel="1">
      <c r="B790" s="175"/>
      <c r="E790" s="319" t="s">
        <v>1072</v>
      </c>
      <c r="F790" s="627" t="s">
        <v>165</v>
      </c>
      <c r="G790" s="628">
        <f>13.8*(8.53-0.35)+(2.365+1.965)*(8.21-0.6)+10.5*(8.53-0.25)-(0.6*1.15+2*1.76*5+0.6*1.15+2*1.8+2*1.76)+(0.6+1.15*2+(2+1.76*2)*2)*0.25+(2+1.76*2)*0.27*2+(0.6+1.15*2+2+1.8*2+(2+1.76*2)*3)*0.27+12.4*(8.21-0.6)-(1.1*1.76+1.1*2.315+0.6*1.15)+(1.1+1.76*2)*0.255+(1.1+2.315*2)*0.33+(0.6+1.15*2)*0.12-(1.105*1.76+0.6*1.15*3)+(1.105+1.76*2)*0.255+((0.6+1.15*2)-0.12)*3</f>
        <v>318.020375</v>
      </c>
      <c r="H790" s="628">
        <f>13.8*(8.53-0.35)+(2.365+1.965)*(8.21-0.6)+10.5*(8.53-0.25)-(0.6*1.15+2*1.76*5+0.6*1.15+2*1.8+2*1.76)+(0.6+1.15*2+(2+1.76*2)*2)*0.25+(2+1.76*2)*0.27*2+(0.6+1.15*2+2+1.8*2+(2+1.76*2)*3)*0.27+12.4*(8.21-0.6)-(1.1*1.76+1.1*2.315+0.6*1.15)+(1.1+1.76*2)*0.255+(1.1+2.315*2)*0.33+(0.6+1.15*2)*0.12-(1.105*1.76+0.6*1.15*3)+(1.105+1.76*2)*0.255+((0.6+1.15*2)-0.12)*3</f>
        <v>318.020375</v>
      </c>
      <c r="I790" s="628">
        <f>13.8*(8.53-0.35)+(2.365+1.965)*(8.21-0.6)+10.5*(8.53-0.25)-(0.6*1.15+2*1.76*5+0.6*1.15+2*1.8+2*1.76)+(0.6+1.15*2+(2+1.76*2)*2)*0.25+(2+1.76*2)*0.27*2+(0.6+1.15*2+2+1.8*2+(2+1.76*2)*3)*0.27+12.4*(8.21-0.6)-(1.1*1.76+1.1*2.315+0.6*1.15)+(1.1+1.76*2)*0.255+(1.1+2.315*2)*0.33+(0.6+1.15*2)*0.12-(1.105*1.76+0.6*1.15*3)+(1.105+1.76*2)*0.255+((0.6+1.15*2)-0.12)*3</f>
        <v>318.020375</v>
      </c>
      <c r="J790" s="176"/>
      <c r="K790" s="266">
        <f>K301</f>
        <v>717</v>
      </c>
      <c r="L790" s="419"/>
      <c r="M790" s="419"/>
      <c r="R790" s="178"/>
      <c r="T790" s="142"/>
      <c r="V790" s="386"/>
    </row>
    <row r="791" spans="2:20" ht="13.5" outlineLevel="1">
      <c r="B791" s="5"/>
      <c r="C791" s="261"/>
      <c r="D791" s="261" t="s">
        <v>64</v>
      </c>
      <c r="E791" s="262" t="s">
        <v>1074</v>
      </c>
      <c r="F791" s="625" t="s">
        <v>1075</v>
      </c>
      <c r="G791" s="625"/>
      <c r="H791" s="625"/>
      <c r="I791" s="625"/>
      <c r="J791" s="174" t="s">
        <v>65</v>
      </c>
      <c r="K791" s="264">
        <f>K789</f>
        <v>717</v>
      </c>
      <c r="L791" s="626"/>
      <c r="M791" s="626"/>
      <c r="N791" s="619">
        <f>ROUND(L791*K791,2)</f>
        <v>0</v>
      </c>
      <c r="O791" s="619"/>
      <c r="P791" s="619"/>
      <c r="Q791" s="619"/>
      <c r="R791" s="6"/>
      <c r="T791" s="142"/>
    </row>
    <row r="792" spans="2:20" ht="13.5" outlineLevel="1">
      <c r="B792" s="5"/>
      <c r="C792" s="261"/>
      <c r="D792" s="261" t="s">
        <v>64</v>
      </c>
      <c r="E792" s="262" t="s">
        <v>1076</v>
      </c>
      <c r="F792" s="625" t="s">
        <v>415</v>
      </c>
      <c r="G792" s="625"/>
      <c r="H792" s="625"/>
      <c r="I792" s="625"/>
      <c r="J792" s="174" t="s">
        <v>65</v>
      </c>
      <c r="K792" s="264">
        <f>K791</f>
        <v>717</v>
      </c>
      <c r="L792" s="626"/>
      <c r="M792" s="626"/>
      <c r="N792" s="619">
        <f>ROUND(L792*K792,2)</f>
        <v>0</v>
      </c>
      <c r="O792" s="619"/>
      <c r="P792" s="619"/>
      <c r="Q792" s="619"/>
      <c r="R792" s="6"/>
      <c r="T792" s="142"/>
    </row>
    <row r="793" spans="2:20" ht="13.5" outlineLevel="1">
      <c r="B793" s="5"/>
      <c r="C793" s="261"/>
      <c r="D793" s="261" t="s">
        <v>64</v>
      </c>
      <c r="E793" s="262">
        <v>783827425</v>
      </c>
      <c r="F793" s="625" t="s">
        <v>1201</v>
      </c>
      <c r="G793" s="625"/>
      <c r="H793" s="625"/>
      <c r="I793" s="625"/>
      <c r="J793" s="174" t="s">
        <v>65</v>
      </c>
      <c r="K793" s="264">
        <f>SUM(K794:K794)</f>
        <v>88.50000000000001</v>
      </c>
      <c r="L793" s="626"/>
      <c r="M793" s="626"/>
      <c r="N793" s="619">
        <f>ROUND(L793*K793,2)</f>
        <v>0</v>
      </c>
      <c r="O793" s="619"/>
      <c r="P793" s="619"/>
      <c r="Q793" s="619"/>
      <c r="R793" s="6"/>
      <c r="T793" s="142"/>
    </row>
    <row r="794" spans="2:22" s="177" customFormat="1" ht="11.25" customHeight="1" outlineLevel="1">
      <c r="B794" s="175"/>
      <c r="E794" s="319" t="s">
        <v>1202</v>
      </c>
      <c r="F794" s="627"/>
      <c r="G794" s="628"/>
      <c r="H794" s="628"/>
      <c r="I794" s="628"/>
      <c r="J794" s="176">
        <v>1.5</v>
      </c>
      <c r="K794" s="266">
        <f>((3.7+5.9+4.7+5.9+6)*2+6.6)*J794</f>
        <v>88.50000000000001</v>
      </c>
      <c r="L794" s="419"/>
      <c r="M794" s="419"/>
      <c r="R794" s="178"/>
      <c r="T794" s="142"/>
      <c r="V794" s="386"/>
    </row>
    <row r="795" spans="2:20" ht="13.5" outlineLevel="1">
      <c r="B795" s="5"/>
      <c r="C795" s="261"/>
      <c r="D795" s="261" t="s">
        <v>64</v>
      </c>
      <c r="E795" s="262">
        <v>783101203</v>
      </c>
      <c r="F795" s="625" t="s">
        <v>2004</v>
      </c>
      <c r="G795" s="625"/>
      <c r="H795" s="625"/>
      <c r="I795" s="625"/>
      <c r="J795" s="174" t="s">
        <v>65</v>
      </c>
      <c r="K795" s="264">
        <f>SUM(K796:K796)</f>
        <v>235.91250000000002</v>
      </c>
      <c r="L795" s="626"/>
      <c r="M795" s="626"/>
      <c r="N795" s="619">
        <f>ROUND(L795*K795,2)</f>
        <v>0</v>
      </c>
      <c r="O795" s="619"/>
      <c r="P795" s="619"/>
      <c r="Q795" s="619"/>
      <c r="R795" s="6"/>
      <c r="T795" s="142"/>
    </row>
    <row r="796" spans="2:22" s="177" customFormat="1" ht="11.25" customHeight="1" outlineLevel="1">
      <c r="B796" s="175"/>
      <c r="E796" s="319" t="s">
        <v>2005</v>
      </c>
      <c r="F796" s="627"/>
      <c r="G796" s="628"/>
      <c r="H796" s="628"/>
      <c r="I796" s="628"/>
      <c r="J796" s="176"/>
      <c r="K796" s="266">
        <f>K696+K699</f>
        <v>235.91250000000002</v>
      </c>
      <c r="L796" s="419"/>
      <c r="M796" s="419"/>
      <c r="R796" s="178"/>
      <c r="T796" s="142"/>
      <c r="V796" s="386"/>
    </row>
    <row r="797" spans="2:20" ht="13.5" outlineLevel="1">
      <c r="B797" s="5"/>
      <c r="C797" s="261"/>
      <c r="D797" s="261" t="s">
        <v>64</v>
      </c>
      <c r="E797" s="262">
        <v>783101403</v>
      </c>
      <c r="F797" s="625" t="s">
        <v>2006</v>
      </c>
      <c r="G797" s="625"/>
      <c r="H797" s="625"/>
      <c r="I797" s="625"/>
      <c r="J797" s="174" t="s">
        <v>65</v>
      </c>
      <c r="K797" s="264">
        <f>K795</f>
        <v>235.91250000000002</v>
      </c>
      <c r="L797" s="626"/>
      <c r="M797" s="626"/>
      <c r="N797" s="619">
        <f>ROUND(L797*K797,2)</f>
        <v>0</v>
      </c>
      <c r="O797" s="619"/>
      <c r="P797" s="619"/>
      <c r="Q797" s="619"/>
      <c r="R797" s="6"/>
      <c r="T797" s="142"/>
    </row>
    <row r="798" spans="2:20" ht="13.5" outlineLevel="1">
      <c r="B798" s="5"/>
      <c r="C798" s="261"/>
      <c r="D798" s="261" t="s">
        <v>64</v>
      </c>
      <c r="E798" s="262">
        <v>783168101</v>
      </c>
      <c r="F798" s="625" t="s">
        <v>2007</v>
      </c>
      <c r="G798" s="625"/>
      <c r="H798" s="625"/>
      <c r="I798" s="625"/>
      <c r="J798" s="174" t="s">
        <v>65</v>
      </c>
      <c r="K798" s="264">
        <f>SUM(K799:K799)</f>
        <v>471.82500000000005</v>
      </c>
      <c r="L798" s="626"/>
      <c r="M798" s="626"/>
      <c r="N798" s="619">
        <f>ROUND(L798*K798,2)</f>
        <v>0</v>
      </c>
      <c r="O798" s="619"/>
      <c r="P798" s="619"/>
      <c r="Q798" s="619"/>
      <c r="R798" s="6"/>
      <c r="T798" s="142"/>
    </row>
    <row r="799" spans="2:22" s="177" customFormat="1" ht="11.25" customHeight="1" outlineLevel="1">
      <c r="B799" s="175"/>
      <c r="E799" s="319" t="s">
        <v>745</v>
      </c>
      <c r="F799" s="627"/>
      <c r="G799" s="628"/>
      <c r="H799" s="628"/>
      <c r="I799" s="628"/>
      <c r="J799" s="176">
        <v>2</v>
      </c>
      <c r="K799" s="266">
        <f>K795*J799</f>
        <v>471.82500000000005</v>
      </c>
      <c r="L799" s="419"/>
      <c r="M799" s="419"/>
      <c r="R799" s="178"/>
      <c r="T799" s="142"/>
      <c r="V799" s="386"/>
    </row>
    <row r="800" spans="2:20" ht="27" customHeight="1" outlineLevel="1">
      <c r="B800" s="5"/>
      <c r="C800" s="261"/>
      <c r="D800" s="261" t="s">
        <v>64</v>
      </c>
      <c r="E800" s="262">
        <v>783223011</v>
      </c>
      <c r="F800" s="625" t="s">
        <v>1191</v>
      </c>
      <c r="G800" s="625"/>
      <c r="H800" s="625"/>
      <c r="I800" s="625"/>
      <c r="J800" s="174" t="s">
        <v>65</v>
      </c>
      <c r="K800" s="264">
        <f>SUM(K801:K801)</f>
        <v>127.168</v>
      </c>
      <c r="L800" s="626"/>
      <c r="M800" s="626"/>
      <c r="N800" s="619">
        <f>ROUND(L800*K800,2)</f>
        <v>0</v>
      </c>
      <c r="O800" s="619"/>
      <c r="P800" s="619"/>
      <c r="Q800" s="619"/>
      <c r="R800" s="6"/>
      <c r="T800" s="142"/>
    </row>
    <row r="801" spans="2:22" s="177" customFormat="1" ht="11.25" customHeight="1" outlineLevel="1">
      <c r="B801" s="175"/>
      <c r="E801" s="319" t="s">
        <v>1190</v>
      </c>
      <c r="F801" s="627"/>
      <c r="G801" s="628"/>
      <c r="H801" s="628"/>
      <c r="I801" s="628"/>
      <c r="J801" s="176"/>
      <c r="K801" s="266">
        <f>0.16*4*7+0.18*4*(15*2+5.4*2*13)</f>
        <v>127.168</v>
      </c>
      <c r="L801" s="419"/>
      <c r="M801" s="419"/>
      <c r="R801" s="178"/>
      <c r="T801" s="142"/>
      <c r="V801" s="386"/>
    </row>
    <row r="802" spans="2:20" ht="13.5" outlineLevel="1">
      <c r="B802" s="5"/>
      <c r="C802" s="261"/>
      <c r="D802" s="261" t="s">
        <v>64</v>
      </c>
      <c r="E802" s="262">
        <v>783228111</v>
      </c>
      <c r="F802" s="625" t="s">
        <v>1196</v>
      </c>
      <c r="G802" s="625"/>
      <c r="H802" s="625"/>
      <c r="I802" s="625"/>
      <c r="J802" s="174" t="s">
        <v>65</v>
      </c>
      <c r="K802" s="264">
        <f>K800</f>
        <v>127.168</v>
      </c>
      <c r="L802" s="626"/>
      <c r="M802" s="626"/>
      <c r="N802" s="619">
        <f>ROUND(L802*K802,2)</f>
        <v>0</v>
      </c>
      <c r="O802" s="619"/>
      <c r="P802" s="619"/>
      <c r="Q802" s="619"/>
      <c r="R802" s="6"/>
      <c r="T802" s="142"/>
    </row>
    <row r="803" spans="2:20" ht="13.5" outlineLevel="1">
      <c r="B803" s="5"/>
      <c r="C803" s="261"/>
      <c r="D803" s="261" t="s">
        <v>64</v>
      </c>
      <c r="E803" s="262">
        <v>783226101</v>
      </c>
      <c r="F803" s="625" t="s">
        <v>1248</v>
      </c>
      <c r="G803" s="625"/>
      <c r="H803" s="625"/>
      <c r="I803" s="625"/>
      <c r="J803" s="174" t="s">
        <v>65</v>
      </c>
      <c r="K803" s="264">
        <f>SUM(K804:K804)</f>
        <v>4.48</v>
      </c>
      <c r="L803" s="626"/>
      <c r="M803" s="626"/>
      <c r="N803" s="619">
        <f>ROUND(L803*K803,2)</f>
        <v>0</v>
      </c>
      <c r="O803" s="619"/>
      <c r="P803" s="619"/>
      <c r="Q803" s="619"/>
      <c r="R803" s="6"/>
      <c r="T803" s="142"/>
    </row>
    <row r="804" spans="2:22" s="177" customFormat="1" ht="11.25" customHeight="1" outlineLevel="1">
      <c r="B804" s="175"/>
      <c r="E804" s="319" t="s">
        <v>1971</v>
      </c>
      <c r="F804" s="627"/>
      <c r="G804" s="628"/>
      <c r="H804" s="628"/>
      <c r="I804" s="628"/>
      <c r="J804" s="176"/>
      <c r="K804" s="266">
        <f>0.16*4*7</f>
        <v>4.48</v>
      </c>
      <c r="L804" s="419"/>
      <c r="M804" s="419"/>
      <c r="R804" s="178"/>
      <c r="T804" s="142"/>
      <c r="V804" s="386"/>
    </row>
    <row r="805" spans="2:22" s="143" customFormat="1" ht="12.75">
      <c r="B805" s="139"/>
      <c r="C805" s="140"/>
      <c r="D805" s="140" t="s">
        <v>56</v>
      </c>
      <c r="E805" s="140"/>
      <c r="F805" s="140"/>
      <c r="G805" s="140"/>
      <c r="H805" s="140"/>
      <c r="I805" s="140"/>
      <c r="J805" s="172"/>
      <c r="K805" s="140"/>
      <c r="L805" s="186"/>
      <c r="M805" s="186"/>
      <c r="N805" s="633">
        <f>SUM(N806:Q818)</f>
        <v>0</v>
      </c>
      <c r="O805" s="633"/>
      <c r="P805" s="633"/>
      <c r="Q805" s="633"/>
      <c r="R805" s="141"/>
      <c r="T805" s="142">
        <f>SUM(N805:Q818)/2</f>
        <v>0</v>
      </c>
      <c r="U805" s="177"/>
      <c r="V805" s="384"/>
    </row>
    <row r="806" spans="2:20" ht="13.5" outlineLevel="1">
      <c r="B806" s="5"/>
      <c r="C806" s="261"/>
      <c r="D806" s="261" t="s">
        <v>64</v>
      </c>
      <c r="E806" s="262" t="s">
        <v>92</v>
      </c>
      <c r="F806" s="625" t="s">
        <v>93</v>
      </c>
      <c r="G806" s="625"/>
      <c r="H806" s="625"/>
      <c r="I806" s="625"/>
      <c r="J806" s="174" t="s">
        <v>65</v>
      </c>
      <c r="K806" s="264">
        <f>SUM(K807:K809)</f>
        <v>2782.40065</v>
      </c>
      <c r="L806" s="626"/>
      <c r="M806" s="626"/>
      <c r="N806" s="619">
        <f>ROUND(L806*K806,2)</f>
        <v>0</v>
      </c>
      <c r="O806" s="619"/>
      <c r="P806" s="619"/>
      <c r="Q806" s="619"/>
      <c r="R806" s="6"/>
      <c r="T806" s="142"/>
    </row>
    <row r="807" spans="2:22" s="177" customFormat="1" ht="13.5" outlineLevel="1">
      <c r="B807" s="175"/>
      <c r="E807" s="319" t="s">
        <v>106</v>
      </c>
      <c r="F807" s="627" t="s">
        <v>165</v>
      </c>
      <c r="G807" s="628"/>
      <c r="H807" s="628"/>
      <c r="I807" s="628"/>
      <c r="J807" s="176"/>
      <c r="K807" s="266">
        <f>K288+K292+K294+K298</f>
        <v>2479.1361500000003</v>
      </c>
      <c r="L807" s="419"/>
      <c r="M807" s="419"/>
      <c r="R807" s="178"/>
      <c r="T807" s="142"/>
      <c r="V807" s="386"/>
    </row>
    <row r="808" spans="2:22" s="177" customFormat="1" ht="13.5" outlineLevel="1">
      <c r="B808" s="175"/>
      <c r="E808" s="319" t="s">
        <v>107</v>
      </c>
      <c r="F808" s="627" t="s">
        <v>165</v>
      </c>
      <c r="G808" s="628"/>
      <c r="H808" s="628"/>
      <c r="I808" s="628"/>
      <c r="J808" s="176"/>
      <c r="K808" s="266">
        <f>(K630+K632)*2+K634+K636+K638+K642+K644</f>
        <v>506.1245</v>
      </c>
      <c r="L808" s="419"/>
      <c r="M808" s="419"/>
      <c r="R808" s="178"/>
      <c r="T808" s="142"/>
      <c r="V808" s="386"/>
    </row>
    <row r="809" spans="2:22" s="177" customFormat="1" ht="13.5" outlineLevel="1">
      <c r="B809" s="175"/>
      <c r="E809" s="319" t="s">
        <v>258</v>
      </c>
      <c r="F809" s="627" t="s">
        <v>165</v>
      </c>
      <c r="G809" s="628"/>
      <c r="H809" s="628"/>
      <c r="I809" s="628"/>
      <c r="J809" s="176">
        <v>-1</v>
      </c>
      <c r="K809" s="266">
        <f>K782*J809</f>
        <v>-202.85999999999999</v>
      </c>
      <c r="L809" s="419"/>
      <c r="M809" s="419"/>
      <c r="R809" s="178"/>
      <c r="T809" s="142"/>
      <c r="V809" s="386"/>
    </row>
    <row r="810" spans="2:20" ht="29.25" customHeight="1" outlineLevel="1">
      <c r="B810" s="5"/>
      <c r="C810" s="261"/>
      <c r="D810" s="261" t="s">
        <v>64</v>
      </c>
      <c r="E810" s="262" t="s">
        <v>94</v>
      </c>
      <c r="F810" s="661" t="s">
        <v>95</v>
      </c>
      <c r="G810" s="662"/>
      <c r="H810" s="662"/>
      <c r="I810" s="663"/>
      <c r="J810" s="174" t="s">
        <v>65</v>
      </c>
      <c r="K810" s="264">
        <f>K806</f>
        <v>2782.40065</v>
      </c>
      <c r="L810" s="664"/>
      <c r="M810" s="665"/>
      <c r="N810" s="658">
        <f>ROUND(L810*K810,2)</f>
        <v>0</v>
      </c>
      <c r="O810" s="659"/>
      <c r="P810" s="659"/>
      <c r="Q810" s="660"/>
      <c r="R810" s="6"/>
      <c r="T810" s="142"/>
    </row>
    <row r="811" spans="2:22" s="177" customFormat="1" ht="13.5" outlineLevel="1">
      <c r="B811" s="175"/>
      <c r="E811" s="319" t="s">
        <v>1197</v>
      </c>
      <c r="F811" s="627" t="s">
        <v>165</v>
      </c>
      <c r="G811" s="628"/>
      <c r="H811" s="628"/>
      <c r="I811" s="628"/>
      <c r="J811" s="176"/>
      <c r="K811" s="266">
        <f>K806</f>
        <v>2782.40065</v>
      </c>
      <c r="L811" s="419"/>
      <c r="M811" s="419"/>
      <c r="R811" s="178"/>
      <c r="T811" s="142"/>
      <c r="V811" s="386"/>
    </row>
    <row r="812" spans="2:22" s="177" customFormat="1" ht="13.5" outlineLevel="1">
      <c r="B812" s="175"/>
      <c r="E812" s="319" t="s">
        <v>1198</v>
      </c>
      <c r="F812" s="627" t="s">
        <v>165</v>
      </c>
      <c r="G812" s="628"/>
      <c r="H812" s="628"/>
      <c r="I812" s="628"/>
      <c r="J812" s="176">
        <v>-1</v>
      </c>
      <c r="K812" s="266">
        <f>K815*J812</f>
        <v>-252.33</v>
      </c>
      <c r="L812" s="419"/>
      <c r="M812" s="419"/>
      <c r="R812" s="178"/>
      <c r="T812" s="142"/>
      <c r="V812" s="386"/>
    </row>
    <row r="813" spans="2:22" s="177" customFormat="1" ht="13.5" outlineLevel="1">
      <c r="B813" s="175"/>
      <c r="E813" s="319" t="s">
        <v>1199</v>
      </c>
      <c r="F813" s="627" t="s">
        <v>165</v>
      </c>
      <c r="G813" s="628"/>
      <c r="H813" s="628"/>
      <c r="I813" s="628"/>
      <c r="J813" s="176">
        <v>-1</v>
      </c>
      <c r="K813" s="266">
        <f>K817*J813</f>
        <v>-851.412</v>
      </c>
      <c r="L813" s="419"/>
      <c r="M813" s="419"/>
      <c r="R813" s="178"/>
      <c r="T813" s="142"/>
      <c r="V813" s="386"/>
    </row>
    <row r="814" spans="2:22" s="177" customFormat="1" ht="22.5" outlineLevel="1">
      <c r="B814" s="175"/>
      <c r="E814" s="319" t="s">
        <v>1200</v>
      </c>
      <c r="F814" s="627" t="s">
        <v>165</v>
      </c>
      <c r="G814" s="628"/>
      <c r="H814" s="628"/>
      <c r="I814" s="628"/>
      <c r="J814" s="176">
        <v>-1</v>
      </c>
      <c r="K814" s="266">
        <f>K793*J814</f>
        <v>-88.50000000000001</v>
      </c>
      <c r="L814" s="419"/>
      <c r="M814" s="419"/>
      <c r="R814" s="178"/>
      <c r="T814" s="142"/>
      <c r="V814" s="386"/>
    </row>
    <row r="815" spans="2:20" ht="29.25" customHeight="1" outlineLevel="1">
      <c r="B815" s="5"/>
      <c r="C815" s="261"/>
      <c r="D815" s="261" t="s">
        <v>64</v>
      </c>
      <c r="E815" s="262">
        <v>784211167</v>
      </c>
      <c r="F815" s="661" t="s">
        <v>1204</v>
      </c>
      <c r="G815" s="662"/>
      <c r="H815" s="662"/>
      <c r="I815" s="663"/>
      <c r="J815" s="174" t="s">
        <v>65</v>
      </c>
      <c r="K815" s="264">
        <f>SUM(K816:K816)</f>
        <v>252.33</v>
      </c>
      <c r="L815" s="664"/>
      <c r="M815" s="665"/>
      <c r="N815" s="658">
        <f>ROUND(L815*K815,2)</f>
        <v>0</v>
      </c>
      <c r="O815" s="659"/>
      <c r="P815" s="659"/>
      <c r="Q815" s="660"/>
      <c r="R815" s="6"/>
      <c r="T815" s="142"/>
    </row>
    <row r="816" spans="2:22" s="177" customFormat="1" ht="13.5" outlineLevel="1">
      <c r="B816" s="175"/>
      <c r="E816" s="319" t="s">
        <v>1205</v>
      </c>
      <c r="F816" s="627" t="s">
        <v>165</v>
      </c>
      <c r="G816" s="628"/>
      <c r="H816" s="628"/>
      <c r="I816" s="628"/>
      <c r="J816" s="176"/>
      <c r="K816" s="266">
        <f>K699/0.75</f>
        <v>252.33</v>
      </c>
      <c r="L816" s="419"/>
      <c r="M816" s="419"/>
      <c r="R816" s="178"/>
      <c r="T816" s="142"/>
      <c r="V816" s="386"/>
    </row>
    <row r="817" spans="2:20" ht="13.5" outlineLevel="1">
      <c r="B817" s="5"/>
      <c r="C817" s="261"/>
      <c r="D817" s="261" t="s">
        <v>64</v>
      </c>
      <c r="E817" s="262">
        <v>784341001</v>
      </c>
      <c r="F817" s="625" t="s">
        <v>1206</v>
      </c>
      <c r="G817" s="625"/>
      <c r="H817" s="625"/>
      <c r="I817" s="625"/>
      <c r="J817" s="174" t="s">
        <v>65</v>
      </c>
      <c r="K817" s="264">
        <f>SUM(K818:K818)</f>
        <v>851.412</v>
      </c>
      <c r="L817" s="626"/>
      <c r="M817" s="626"/>
      <c r="N817" s="619">
        <f>ROUND(L817*K817,2)</f>
        <v>0</v>
      </c>
      <c r="O817" s="619"/>
      <c r="P817" s="619"/>
      <c r="Q817" s="619"/>
      <c r="R817" s="6"/>
      <c r="T817" s="142"/>
    </row>
    <row r="818" spans="2:22" s="177" customFormat="1" ht="13.5" outlineLevel="1">
      <c r="B818" s="175"/>
      <c r="E818" s="319" t="s">
        <v>1207</v>
      </c>
      <c r="F818" s="627" t="s">
        <v>165</v>
      </c>
      <c r="G818" s="628"/>
      <c r="H818" s="628"/>
      <c r="I818" s="628"/>
      <c r="J818" s="176"/>
      <c r="K818" s="266">
        <f>K289+K295</f>
        <v>851.412</v>
      </c>
      <c r="L818" s="419"/>
      <c r="M818" s="419"/>
      <c r="R818" s="178"/>
      <c r="T818" s="142"/>
      <c r="V818" s="386"/>
    </row>
    <row r="819" spans="2:20" ht="13.5">
      <c r="B819" s="32"/>
      <c r="C819" s="33"/>
      <c r="D819" s="33"/>
      <c r="E819" s="33"/>
      <c r="F819" s="33"/>
      <c r="G819" s="33"/>
      <c r="H819" s="33"/>
      <c r="I819" s="33"/>
      <c r="J819" s="181"/>
      <c r="K819" s="33"/>
      <c r="L819" s="33"/>
      <c r="M819" s="33"/>
      <c r="N819" s="33"/>
      <c r="O819" s="33"/>
      <c r="P819" s="33"/>
      <c r="Q819" s="33"/>
      <c r="R819" s="34"/>
      <c r="T819" s="142"/>
    </row>
    <row r="820" spans="10:20" ht="13.5">
      <c r="J820" s="182"/>
      <c r="T820" s="142"/>
    </row>
    <row r="821" spans="10:20" ht="13.5">
      <c r="J821" s="182"/>
      <c r="T821" s="142"/>
    </row>
    <row r="822" spans="10:20" ht="13.5">
      <c r="J822" s="182"/>
      <c r="T822" s="142"/>
    </row>
  </sheetData>
  <mergeCells count="1447">
    <mergeCell ref="L731:M731"/>
    <mergeCell ref="F730:I730"/>
    <mergeCell ref="F755:I755"/>
    <mergeCell ref="F756:I756"/>
    <mergeCell ref="L756:M756"/>
    <mergeCell ref="N756:Q756"/>
    <mergeCell ref="F752:I752"/>
    <mergeCell ref="L752:M752"/>
    <mergeCell ref="N752:Q752"/>
    <mergeCell ref="L736:M736"/>
    <mergeCell ref="N736:Q736"/>
    <mergeCell ref="F737:I737"/>
    <mergeCell ref="F738:I738"/>
    <mergeCell ref="L738:M738"/>
    <mergeCell ref="N738:Q738"/>
    <mergeCell ref="N753:Q753"/>
    <mergeCell ref="F739:I739"/>
    <mergeCell ref="L739:M739"/>
    <mergeCell ref="N739:Q739"/>
    <mergeCell ref="F734:I734"/>
    <mergeCell ref="L734:M734"/>
    <mergeCell ref="N734:Q734"/>
    <mergeCell ref="F808:I808"/>
    <mergeCell ref="F809:I809"/>
    <mergeCell ref="F810:I810"/>
    <mergeCell ref="F229:I229"/>
    <mergeCell ref="F650:I650"/>
    <mergeCell ref="L650:M650"/>
    <mergeCell ref="N650:Q650"/>
    <mergeCell ref="F815:I815"/>
    <mergeCell ref="L815:M815"/>
    <mergeCell ref="N815:Q815"/>
    <mergeCell ref="F811:I811"/>
    <mergeCell ref="F812:I812"/>
    <mergeCell ref="F814:I814"/>
    <mergeCell ref="F813:I813"/>
    <mergeCell ref="F803:I803"/>
    <mergeCell ref="L803:M803"/>
    <mergeCell ref="N803:Q803"/>
    <mergeCell ref="F722:I722"/>
    <mergeCell ref="N742:Q742"/>
    <mergeCell ref="F743:I743"/>
    <mergeCell ref="L743:M743"/>
    <mergeCell ref="N743:Q743"/>
    <mergeCell ref="F744:I744"/>
    <mergeCell ref="F745:I745"/>
    <mergeCell ref="F793:I793"/>
    <mergeCell ref="F794:I794"/>
    <mergeCell ref="L621:M621"/>
    <mergeCell ref="N621:Q621"/>
    <mergeCell ref="F622:I622"/>
    <mergeCell ref="L622:M622"/>
    <mergeCell ref="N622:Q622"/>
    <mergeCell ref="F746:I746"/>
    <mergeCell ref="F817:I817"/>
    <mergeCell ref="L817:M817"/>
    <mergeCell ref="N817:Q817"/>
    <mergeCell ref="F818:I818"/>
    <mergeCell ref="F763:I763"/>
    <mergeCell ref="F764:I764"/>
    <mergeCell ref="F765:I765"/>
    <mergeCell ref="L765:M765"/>
    <mergeCell ref="N765:Q765"/>
    <mergeCell ref="F766:I766"/>
    <mergeCell ref="L766:M766"/>
    <mergeCell ref="N766:Q766"/>
    <mergeCell ref="F767:I767"/>
    <mergeCell ref="L767:M767"/>
    <mergeCell ref="N767:Q767"/>
    <mergeCell ref="F816:I816"/>
    <mergeCell ref="L810:M810"/>
    <mergeCell ref="N810:Q810"/>
    <mergeCell ref="N805:Q805"/>
    <mergeCell ref="F806:I806"/>
    <mergeCell ref="F791:I791"/>
    <mergeCell ref="L791:M791"/>
    <mergeCell ref="N791:Q791"/>
    <mergeCell ref="F790:I790"/>
    <mergeCell ref="F786:I786"/>
    <mergeCell ref="L786:M786"/>
    <mergeCell ref="F807:I807"/>
    <mergeCell ref="L793:M793"/>
    <mergeCell ref="N787:Q787"/>
    <mergeCell ref="N788:Q788"/>
    <mergeCell ref="N793:Q793"/>
    <mergeCell ref="L800:M800"/>
    <mergeCell ref="N626:Q626"/>
    <mergeCell ref="F625:I625"/>
    <mergeCell ref="F684:I684"/>
    <mergeCell ref="L684:M684"/>
    <mergeCell ref="N684:Q684"/>
    <mergeCell ref="N686:Q686"/>
    <mergeCell ref="F638:I638"/>
    <mergeCell ref="L638:M638"/>
    <mergeCell ref="N638:Q638"/>
    <mergeCell ref="L640:M640"/>
    <mergeCell ref="N640:Q640"/>
    <mergeCell ref="F641:I641"/>
    <mergeCell ref="F645:I645"/>
    <mergeCell ref="F655:I655"/>
    <mergeCell ref="F656:I656"/>
    <mergeCell ref="L656:M656"/>
    <mergeCell ref="N656:Q656"/>
    <mergeCell ref="N644:Q644"/>
    <mergeCell ref="F649:I649"/>
    <mergeCell ref="F646:I646"/>
    <mergeCell ref="F657:I657"/>
    <mergeCell ref="N680:Q680"/>
    <mergeCell ref="F681:I681"/>
    <mergeCell ref="F682:I682"/>
    <mergeCell ref="F675:I675"/>
    <mergeCell ref="L675:M675"/>
    <mergeCell ref="N675:Q675"/>
    <mergeCell ref="F676:I676"/>
    <mergeCell ref="F677:I677"/>
    <mergeCell ref="F671:I671"/>
    <mergeCell ref="L657:M657"/>
    <mergeCell ref="N657:Q657"/>
    <mergeCell ref="F658:I658"/>
    <mergeCell ref="F659:I659"/>
    <mergeCell ref="F636:I636"/>
    <mergeCell ref="L636:M636"/>
    <mergeCell ref="N636:Q636"/>
    <mergeCell ref="F637:I637"/>
    <mergeCell ref="F634:I634"/>
    <mergeCell ref="L634:M634"/>
    <mergeCell ref="N634:Q634"/>
    <mergeCell ref="F635:I635"/>
    <mergeCell ref="F404:I404"/>
    <mergeCell ref="L404:M404"/>
    <mergeCell ref="N404:Q404"/>
    <mergeCell ref="F405:I405"/>
    <mergeCell ref="L603:M603"/>
    <mergeCell ref="N603:Q603"/>
    <mergeCell ref="L604:M604"/>
    <mergeCell ref="N604:Q604"/>
    <mergeCell ref="F606:I606"/>
    <mergeCell ref="L606:M606"/>
    <mergeCell ref="N606:Q606"/>
    <mergeCell ref="F598:I598"/>
    <mergeCell ref="F599:I599"/>
    <mergeCell ref="L599:M599"/>
    <mergeCell ref="N599:Q599"/>
    <mergeCell ref="F600:I600"/>
    <mergeCell ref="E619:I619"/>
    <mergeCell ref="L619:M619"/>
    <mergeCell ref="F626:I626"/>
    <mergeCell ref="L626:M626"/>
    <mergeCell ref="N580:Q580"/>
    <mergeCell ref="F576:I576"/>
    <mergeCell ref="F597:I597"/>
    <mergeCell ref="L597:M597"/>
    <mergeCell ref="N597:Q597"/>
    <mergeCell ref="N589:Q589"/>
    <mergeCell ref="F593:I593"/>
    <mergeCell ref="L593:M593"/>
    <mergeCell ref="N593:Q593"/>
    <mergeCell ref="N582:Q582"/>
    <mergeCell ref="F573:I573"/>
    <mergeCell ref="F540:I540"/>
    <mergeCell ref="F546:I546"/>
    <mergeCell ref="L546:M546"/>
    <mergeCell ref="N546:Q546"/>
    <mergeCell ref="L580:M580"/>
    <mergeCell ref="L592:M592"/>
    <mergeCell ref="N592:Q592"/>
    <mergeCell ref="F591:I591"/>
    <mergeCell ref="L556:M556"/>
    <mergeCell ref="N556:Q556"/>
    <mergeCell ref="F541:I541"/>
    <mergeCell ref="L551:M551"/>
    <mergeCell ref="N551:Q551"/>
    <mergeCell ref="L569:M569"/>
    <mergeCell ref="N569:Q569"/>
    <mergeCell ref="L400:M400"/>
    <mergeCell ref="N400:Q400"/>
    <mergeCell ref="F329:I329"/>
    <mergeCell ref="F330:I330"/>
    <mergeCell ref="F331:I331"/>
    <mergeCell ref="F588:I588"/>
    <mergeCell ref="E338:I338"/>
    <mergeCell ref="N362:Q362"/>
    <mergeCell ref="F339:I339"/>
    <mergeCell ref="L575:M575"/>
    <mergeCell ref="N575:Q575"/>
    <mergeCell ref="L573:M573"/>
    <mergeCell ref="E581:I581"/>
    <mergeCell ref="L581:M581"/>
    <mergeCell ref="N581:Q581"/>
    <mergeCell ref="F340:I340"/>
    <mergeCell ref="F341:I341"/>
    <mergeCell ref="F346:I346"/>
    <mergeCell ref="F354:I354"/>
    <mergeCell ref="F355:I355"/>
    <mergeCell ref="N356:Q356"/>
    <mergeCell ref="F350:I350"/>
    <mergeCell ref="E503:I503"/>
    <mergeCell ref="L512:M512"/>
    <mergeCell ref="N512:Q512"/>
    <mergeCell ref="F564:I564"/>
    <mergeCell ref="L564:M564"/>
    <mergeCell ref="N564:Q564"/>
    <mergeCell ref="F289:I289"/>
    <mergeCell ref="F295:I295"/>
    <mergeCell ref="F386:I386"/>
    <mergeCell ref="L386:M386"/>
    <mergeCell ref="N386:Q386"/>
    <mergeCell ref="F387:I387"/>
    <mergeCell ref="F391:I391"/>
    <mergeCell ref="L391:M391"/>
    <mergeCell ref="N391:Q391"/>
    <mergeCell ref="F392:I392"/>
    <mergeCell ref="F333:I333"/>
    <mergeCell ref="L320:M320"/>
    <mergeCell ref="F314:I314"/>
    <mergeCell ref="L314:M314"/>
    <mergeCell ref="F302:I302"/>
    <mergeCell ref="F303:I303"/>
    <mergeCell ref="F317:I317"/>
    <mergeCell ref="L317:M317"/>
    <mergeCell ref="N317:Q317"/>
    <mergeCell ref="F318:I318"/>
    <mergeCell ref="L318:M318"/>
    <mergeCell ref="N318:Q318"/>
    <mergeCell ref="N623:Q623"/>
    <mergeCell ref="F583:I583"/>
    <mergeCell ref="F584:I584"/>
    <mergeCell ref="L587:M587"/>
    <mergeCell ref="N587:Q587"/>
    <mergeCell ref="F544:I544"/>
    <mergeCell ref="L544:M544"/>
    <mergeCell ref="N544:Q544"/>
    <mergeCell ref="F545:I545"/>
    <mergeCell ref="L545:M545"/>
    <mergeCell ref="N545:Q545"/>
    <mergeCell ref="N619:Q619"/>
    <mergeCell ref="F621:I621"/>
    <mergeCell ref="L601:M601"/>
    <mergeCell ref="N601:Q601"/>
    <mergeCell ref="F603:I603"/>
    <mergeCell ref="E623:I623"/>
    <mergeCell ref="L623:M623"/>
    <mergeCell ref="L584:M584"/>
    <mergeCell ref="N584:Q584"/>
    <mergeCell ref="F578:I578"/>
    <mergeCell ref="F605:I605"/>
    <mergeCell ref="F595:I595"/>
    <mergeCell ref="F594:I594"/>
    <mergeCell ref="L594:M594"/>
    <mergeCell ref="N594:Q594"/>
    <mergeCell ref="N608:Q608"/>
    <mergeCell ref="F577:I577"/>
    <mergeCell ref="L577:M577"/>
    <mergeCell ref="N577:Q577"/>
    <mergeCell ref="L595:M595"/>
    <mergeCell ref="N595:Q595"/>
    <mergeCell ref="L256:M256"/>
    <mergeCell ref="F555:I555"/>
    <mergeCell ref="L555:M555"/>
    <mergeCell ref="N555:Q555"/>
    <mergeCell ref="F553:I553"/>
    <mergeCell ref="F552:I552"/>
    <mergeCell ref="L552:M552"/>
    <mergeCell ref="N552:Q552"/>
    <mergeCell ref="F561:I561"/>
    <mergeCell ref="L561:M561"/>
    <mergeCell ref="N561:Q561"/>
    <mergeCell ref="E458:I458"/>
    <mergeCell ref="L458:M458"/>
    <mergeCell ref="N458:Q458"/>
    <mergeCell ref="F460:I460"/>
    <mergeCell ref="L460:M460"/>
    <mergeCell ref="N460:Q460"/>
    <mergeCell ref="F464:I464"/>
    <mergeCell ref="F548:I548"/>
    <mergeCell ref="L548:M548"/>
    <mergeCell ref="N271:Q271"/>
    <mergeCell ref="F270:I270"/>
    <mergeCell ref="F297:I297"/>
    <mergeCell ref="F286:I286"/>
    <mergeCell ref="L286:M286"/>
    <mergeCell ref="N286:Q286"/>
    <mergeCell ref="F288:I288"/>
    <mergeCell ref="L257:M257"/>
    <mergeCell ref="N257:Q257"/>
    <mergeCell ref="L288:M288"/>
    <mergeCell ref="F294:I294"/>
    <mergeCell ref="F415:I415"/>
    <mergeCell ref="F607:I607"/>
    <mergeCell ref="L607:M607"/>
    <mergeCell ref="N607:Q607"/>
    <mergeCell ref="E601:I601"/>
    <mergeCell ref="F585:I585"/>
    <mergeCell ref="L585:M585"/>
    <mergeCell ref="N585:Q585"/>
    <mergeCell ref="E586:I586"/>
    <mergeCell ref="L586:M586"/>
    <mergeCell ref="N586:Q586"/>
    <mergeCell ref="F587:I587"/>
    <mergeCell ref="F579:I579"/>
    <mergeCell ref="L579:M579"/>
    <mergeCell ref="N579:Q579"/>
    <mergeCell ref="F580:I580"/>
    <mergeCell ref="L589:M589"/>
    <mergeCell ref="N572:Q572"/>
    <mergeCell ref="F574:I574"/>
    <mergeCell ref="L574:M574"/>
    <mergeCell ref="N574:Q574"/>
    <mergeCell ref="F575:I575"/>
    <mergeCell ref="F572:I572"/>
    <mergeCell ref="L572:M572"/>
    <mergeCell ref="F592:I592"/>
    <mergeCell ref="F589:I589"/>
    <mergeCell ref="N573:Q573"/>
    <mergeCell ref="L600:M600"/>
    <mergeCell ref="N600:Q600"/>
    <mergeCell ref="F590:I590"/>
    <mergeCell ref="L590:M590"/>
    <mergeCell ref="N590:Q590"/>
    <mergeCell ref="F596:I596"/>
    <mergeCell ref="F539:I539"/>
    <mergeCell ref="L464:M464"/>
    <mergeCell ref="N464:Q464"/>
    <mergeCell ref="F465:I465"/>
    <mergeCell ref="L503:M503"/>
    <mergeCell ref="N503:Q503"/>
    <mergeCell ref="F516:I516"/>
    <mergeCell ref="F325:I325"/>
    <mergeCell ref="F326:I326"/>
    <mergeCell ref="F352:I352"/>
    <mergeCell ref="F276:I276"/>
    <mergeCell ref="F277:I277"/>
    <mergeCell ref="L277:M277"/>
    <mergeCell ref="N277:Q277"/>
    <mergeCell ref="F264:I264"/>
    <mergeCell ref="L264:M264"/>
    <mergeCell ref="N264:Q264"/>
    <mergeCell ref="F265:I265"/>
    <mergeCell ref="F271:I271"/>
    <mergeCell ref="L271:M271"/>
    <mergeCell ref="N288:Q288"/>
    <mergeCell ref="L294:M294"/>
    <mergeCell ref="N294:Q294"/>
    <mergeCell ref="F292:I292"/>
    <mergeCell ref="L292:M292"/>
    <mergeCell ref="N292:Q292"/>
    <mergeCell ref="F293:I293"/>
    <mergeCell ref="F290:I290"/>
    <mergeCell ref="F291:I291"/>
    <mergeCell ref="F296:I296"/>
    <mergeCell ref="F282:I282"/>
    <mergeCell ref="F284:I284"/>
    <mergeCell ref="F285:I285"/>
    <mergeCell ref="L285:M285"/>
    <mergeCell ref="N285:Q285"/>
    <mergeCell ref="F246:I246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62:I262"/>
    <mergeCell ref="L262:M262"/>
    <mergeCell ref="N262:Q262"/>
    <mergeCell ref="F263:I263"/>
    <mergeCell ref="F247:I247"/>
    <mergeCell ref="F251:I251"/>
    <mergeCell ref="L251:M251"/>
    <mergeCell ref="L253:M253"/>
    <mergeCell ref="N253:Q253"/>
    <mergeCell ref="F254:I254"/>
    <mergeCell ref="F255:I255"/>
    <mergeCell ref="L255:M255"/>
    <mergeCell ref="N255:Q255"/>
    <mergeCell ref="F258:I258"/>
    <mergeCell ref="N256:Q256"/>
    <mergeCell ref="F257:I257"/>
    <mergeCell ref="L258:M258"/>
    <mergeCell ref="N258:Q258"/>
    <mergeCell ref="F256:I256"/>
    <mergeCell ref="F244:I244"/>
    <mergeCell ref="F278:I278"/>
    <mergeCell ref="F281:I281"/>
    <mergeCell ref="L281:M281"/>
    <mergeCell ref="N281:Q281"/>
    <mergeCell ref="F280:I280"/>
    <mergeCell ref="F274:I274"/>
    <mergeCell ref="L274:M274"/>
    <mergeCell ref="N274:Q274"/>
    <mergeCell ref="F272:I272"/>
    <mergeCell ref="F275:I275"/>
    <mergeCell ref="F273:I273"/>
    <mergeCell ref="L275:M275"/>
    <mergeCell ref="N275:Q275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N251:Q251"/>
    <mergeCell ref="F252:I252"/>
    <mergeCell ref="L252:M252"/>
    <mergeCell ref="N252:Q252"/>
    <mergeCell ref="F259:I259"/>
    <mergeCell ref="F261:I261"/>
    <mergeCell ref="L261:M261"/>
    <mergeCell ref="N261:Q261"/>
    <mergeCell ref="F260:I260"/>
    <mergeCell ref="F253:I253"/>
    <mergeCell ref="N222:Q222"/>
    <mergeCell ref="F223:I223"/>
    <mergeCell ref="F224:I224"/>
    <mergeCell ref="F225:I225"/>
    <mergeCell ref="F209:I209"/>
    <mergeCell ref="L209:M209"/>
    <mergeCell ref="N209:Q209"/>
    <mergeCell ref="F210:I210"/>
    <mergeCell ref="F212:I212"/>
    <mergeCell ref="L212:M212"/>
    <mergeCell ref="N212:Q212"/>
    <mergeCell ref="F213:I213"/>
    <mergeCell ref="F211:I211"/>
    <mergeCell ref="F214:I214"/>
    <mergeCell ref="L214:M214"/>
    <mergeCell ref="N214:Q214"/>
    <mergeCell ref="F215:I215"/>
    <mergeCell ref="F216:I216"/>
    <mergeCell ref="F200:I200"/>
    <mergeCell ref="F242:I242"/>
    <mergeCell ref="L192:M192"/>
    <mergeCell ref="N192:Q192"/>
    <mergeCell ref="F190:I190"/>
    <mergeCell ref="F192:I192"/>
    <mergeCell ref="F193:I193"/>
    <mergeCell ref="F195:I195"/>
    <mergeCell ref="N191:Q191"/>
    <mergeCell ref="F196:I196"/>
    <mergeCell ref="L196:M196"/>
    <mergeCell ref="N196:Q196"/>
    <mergeCell ref="F197:I197"/>
    <mergeCell ref="F202:I202"/>
    <mergeCell ref="L202:M202"/>
    <mergeCell ref="N202:Q202"/>
    <mergeCell ref="F203:I203"/>
    <mergeCell ref="F201:I201"/>
    <mergeCell ref="F204:I204"/>
    <mergeCell ref="L204:M204"/>
    <mergeCell ref="N204:Q204"/>
    <mergeCell ref="F205:I205"/>
    <mergeCell ref="F241:I241"/>
    <mergeCell ref="N236:Q236"/>
    <mergeCell ref="F237:I237"/>
    <mergeCell ref="F226:I226"/>
    <mergeCell ref="F230:I230"/>
    <mergeCell ref="L242:M242"/>
    <mergeCell ref="N242:Q242"/>
    <mergeCell ref="N219:Q219"/>
    <mergeCell ref="F222:I222"/>
    <mergeCell ref="L222:M222"/>
    <mergeCell ref="F707:I707"/>
    <mergeCell ref="L707:M707"/>
    <mergeCell ref="N707:Q707"/>
    <mergeCell ref="F718:I718"/>
    <mergeCell ref="F708:I708"/>
    <mergeCell ref="F709:I709"/>
    <mergeCell ref="F711:I711"/>
    <mergeCell ref="F710:I710"/>
    <mergeCell ref="L710:M710"/>
    <mergeCell ref="N710:Q710"/>
    <mergeCell ref="F712:I712"/>
    <mergeCell ref="F714:I714"/>
    <mergeCell ref="F715:I715"/>
    <mergeCell ref="F716:I716"/>
    <mergeCell ref="F717:I717"/>
    <mergeCell ref="L717:M717"/>
    <mergeCell ref="L718:M718"/>
    <mergeCell ref="N718:Q718"/>
    <mergeCell ref="M29:P29"/>
    <mergeCell ref="M31:P31"/>
    <mergeCell ref="H33:J33"/>
    <mergeCell ref="M33:P33"/>
    <mergeCell ref="H34:J34"/>
    <mergeCell ref="F705:I705"/>
    <mergeCell ref="N717:Q717"/>
    <mergeCell ref="L789:M789"/>
    <mergeCell ref="N789:Q789"/>
    <mergeCell ref="F792:I792"/>
    <mergeCell ref="L792:M792"/>
    <mergeCell ref="N792:Q792"/>
    <mergeCell ref="F789:I789"/>
    <mergeCell ref="F661:I661"/>
    <mergeCell ref="F683:I683"/>
    <mergeCell ref="L683:M683"/>
    <mergeCell ref="N683:Q683"/>
    <mergeCell ref="F685:I685"/>
    <mergeCell ref="L685:M685"/>
    <mergeCell ref="N685:Q685"/>
    <mergeCell ref="F670:I670"/>
    <mergeCell ref="L670:M670"/>
    <mergeCell ref="N670:Q670"/>
    <mergeCell ref="F727:I727"/>
    <mergeCell ref="F728:I728"/>
    <mergeCell ref="L728:M728"/>
    <mergeCell ref="N728:Q728"/>
    <mergeCell ref="F729:I729"/>
    <mergeCell ref="L729:M729"/>
    <mergeCell ref="N729:Q729"/>
    <mergeCell ref="F731:I731"/>
    <mergeCell ref="N720:Q720"/>
    <mergeCell ref="C2:Q2"/>
    <mergeCell ref="F4:P4"/>
    <mergeCell ref="F5:P5"/>
    <mergeCell ref="O7:P7"/>
    <mergeCell ref="O9:P9"/>
    <mergeCell ref="O10:P10"/>
    <mergeCell ref="O19:P19"/>
    <mergeCell ref="O21:P21"/>
    <mergeCell ref="E22:P22"/>
    <mergeCell ref="D25:E25"/>
    <mergeCell ref="G25:P25"/>
    <mergeCell ref="D26:E26"/>
    <mergeCell ref="G26:P26"/>
    <mergeCell ref="F12:I12"/>
    <mergeCell ref="O12:P12"/>
    <mergeCell ref="O13:P13"/>
    <mergeCell ref="O15:P15"/>
    <mergeCell ref="O16:P16"/>
    <mergeCell ref="O18:P18"/>
    <mergeCell ref="M34:P34"/>
    <mergeCell ref="N89:Q89"/>
    <mergeCell ref="N90:Q90"/>
    <mergeCell ref="N92:Q92"/>
    <mergeCell ref="N93:Q93"/>
    <mergeCell ref="N94:Q94"/>
    <mergeCell ref="M82:Q82"/>
    <mergeCell ref="C84:G84"/>
    <mergeCell ref="N84:Q84"/>
    <mergeCell ref="N86:Q86"/>
    <mergeCell ref="N87:Q87"/>
    <mergeCell ref="N88:Q88"/>
    <mergeCell ref="N91:Q91"/>
    <mergeCell ref="N101:Q101"/>
    <mergeCell ref="N104:Q104"/>
    <mergeCell ref="N105:Q105"/>
    <mergeCell ref="N107:Q107"/>
    <mergeCell ref="L36:P36"/>
    <mergeCell ref="C74:Q74"/>
    <mergeCell ref="F76:P76"/>
    <mergeCell ref="F77:P77"/>
    <mergeCell ref="M79:P79"/>
    <mergeCell ref="M81:Q81"/>
    <mergeCell ref="N109:Q109"/>
    <mergeCell ref="N110:Q110"/>
    <mergeCell ref="N95:Q95"/>
    <mergeCell ref="N96:Q96"/>
    <mergeCell ref="N97:Q97"/>
    <mergeCell ref="N98:Q98"/>
    <mergeCell ref="N99:Q99"/>
    <mergeCell ref="N100:Q100"/>
    <mergeCell ref="N106:Q106"/>
    <mergeCell ref="N108:Q108"/>
    <mergeCell ref="M126:Q126"/>
    <mergeCell ref="M127:Q127"/>
    <mergeCell ref="F128:P128"/>
    <mergeCell ref="N102:Q102"/>
    <mergeCell ref="N103:Q103"/>
    <mergeCell ref="F129:P129"/>
    <mergeCell ref="F131:I131"/>
    <mergeCell ref="L131:M131"/>
    <mergeCell ref="N131:Q131"/>
    <mergeCell ref="N111:Q111"/>
    <mergeCell ref="L113:Q113"/>
    <mergeCell ref="C119:Q119"/>
    <mergeCell ref="F121:P121"/>
    <mergeCell ref="F122:P122"/>
    <mergeCell ref="M124:P124"/>
    <mergeCell ref="F136:I136"/>
    <mergeCell ref="F143:I143"/>
    <mergeCell ref="L143:M143"/>
    <mergeCell ref="N143:Q143"/>
    <mergeCell ref="F144:I144"/>
    <mergeCell ref="F145:I145"/>
    <mergeCell ref="N132:Q132"/>
    <mergeCell ref="N133:Q133"/>
    <mergeCell ref="N134:Q134"/>
    <mergeCell ref="F135:I135"/>
    <mergeCell ref="L135:M135"/>
    <mergeCell ref="N135:Q135"/>
    <mergeCell ref="L145:M145"/>
    <mergeCell ref="N145:Q145"/>
    <mergeCell ref="F141:I141"/>
    <mergeCell ref="L141:M141"/>
    <mergeCell ref="N141:Q141"/>
    <mergeCell ref="F142:I142"/>
    <mergeCell ref="F137:I137"/>
    <mergeCell ref="F138:I138"/>
    <mergeCell ref="L138:M138"/>
    <mergeCell ref="N138:Q138"/>
    <mergeCell ref="F139:I139"/>
    <mergeCell ref="F140:I140"/>
    <mergeCell ref="F146:I146"/>
    <mergeCell ref="F147:I147"/>
    <mergeCell ref="F148:I148"/>
    <mergeCell ref="L147:M147"/>
    <mergeCell ref="N147:Q147"/>
    <mergeCell ref="L149:M149"/>
    <mergeCell ref="N149:Q149"/>
    <mergeCell ref="F189:I189"/>
    <mergeCell ref="L189:M189"/>
    <mergeCell ref="N189:Q189"/>
    <mergeCell ref="N155:Q155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F187:I187"/>
    <mergeCell ref="F153:I153"/>
    <mergeCell ref="F154:I154"/>
    <mergeCell ref="L173:M173"/>
    <mergeCell ref="F184:I184"/>
    <mergeCell ref="F185:I185"/>
    <mergeCell ref="L185:M185"/>
    <mergeCell ref="N185:Q185"/>
    <mergeCell ref="F186:I186"/>
    <mergeCell ref="L187:M187"/>
    <mergeCell ref="N187:Q187"/>
    <mergeCell ref="F188:I188"/>
    <mergeCell ref="L245:M245"/>
    <mergeCell ref="N245:Q245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206:I206"/>
    <mergeCell ref="L206:M206"/>
    <mergeCell ref="N206:Q206"/>
    <mergeCell ref="F207:I207"/>
    <mergeCell ref="F208:I208"/>
    <mergeCell ref="F220:I220"/>
    <mergeCell ref="F221:I221"/>
    <mergeCell ref="F217:I217"/>
    <mergeCell ref="L217:M217"/>
    <mergeCell ref="N217:Q217"/>
    <mergeCell ref="F218:I218"/>
    <mergeCell ref="F219:I219"/>
    <mergeCell ref="L219:M219"/>
    <mergeCell ref="F174:I174"/>
    <mergeCell ref="F167:I167"/>
    <mergeCell ref="L167:M167"/>
    <mergeCell ref="N167:Q167"/>
    <mergeCell ref="F169:I169"/>
    <mergeCell ref="F170:I170"/>
    <mergeCell ref="L170:M170"/>
    <mergeCell ref="F194:I194"/>
    <mergeCell ref="F198:I198"/>
    <mergeCell ref="F304:I304"/>
    <mergeCell ref="L310:M310"/>
    <mergeCell ref="N310:Q310"/>
    <mergeCell ref="L312:M312"/>
    <mergeCell ref="N312:Q312"/>
    <mergeCell ref="L226:M226"/>
    <mergeCell ref="N226:Q226"/>
    <mergeCell ref="F227:I227"/>
    <mergeCell ref="F228:I228"/>
    <mergeCell ref="F235:I235"/>
    <mergeCell ref="F231:I231"/>
    <mergeCell ref="F232:I232"/>
    <mergeCell ref="L232:M232"/>
    <mergeCell ref="N232:Q232"/>
    <mergeCell ref="F233:I233"/>
    <mergeCell ref="F234:I234"/>
    <mergeCell ref="N287:Q287"/>
    <mergeCell ref="F279:I279"/>
    <mergeCell ref="F283:I283"/>
    <mergeCell ref="L237:M237"/>
    <mergeCell ref="N237:Q237"/>
    <mergeCell ref="F238:I238"/>
    <mergeCell ref="F239:I239"/>
    <mergeCell ref="F240:I240"/>
    <mergeCell ref="L240:M240"/>
    <mergeCell ref="N240:Q240"/>
    <mergeCell ref="F298:I298"/>
    <mergeCell ref="L298:M298"/>
    <mergeCell ref="N298:Q298"/>
    <mergeCell ref="F299:I299"/>
    <mergeCell ref="F243:I243"/>
    <mergeCell ref="F245:I245"/>
    <mergeCell ref="F342:I342"/>
    <mergeCell ref="F347:I347"/>
    <mergeCell ref="F348:I348"/>
    <mergeCell ref="F349:I349"/>
    <mergeCell ref="F345:I345"/>
    <mergeCell ref="E344:I344"/>
    <mergeCell ref="F360:I360"/>
    <mergeCell ref="F343:I343"/>
    <mergeCell ref="L352:M352"/>
    <mergeCell ref="N352:Q352"/>
    <mergeCell ref="F357:I357"/>
    <mergeCell ref="F300:I300"/>
    <mergeCell ref="F311:I311"/>
    <mergeCell ref="F310:I310"/>
    <mergeCell ref="F312:I312"/>
    <mergeCell ref="F308:I308"/>
    <mergeCell ref="L308:M308"/>
    <mergeCell ref="N308:Q308"/>
    <mergeCell ref="F334:I334"/>
    <mergeCell ref="L334:M334"/>
    <mergeCell ref="N334:Q334"/>
    <mergeCell ref="F306:I306"/>
    <mergeCell ref="L306:M306"/>
    <mergeCell ref="N306:Q306"/>
    <mergeCell ref="F307:I307"/>
    <mergeCell ref="F305:I305"/>
    <mergeCell ref="F301:I301"/>
    <mergeCell ref="L301:M301"/>
    <mergeCell ref="N301:Q301"/>
    <mergeCell ref="F313:I313"/>
    <mergeCell ref="F320:I320"/>
    <mergeCell ref="F309:I309"/>
    <mergeCell ref="F351:I351"/>
    <mergeCell ref="F353:I353"/>
    <mergeCell ref="F363:I363"/>
    <mergeCell ref="L363:M363"/>
    <mergeCell ref="N363:Q363"/>
    <mergeCell ref="F364:I364"/>
    <mergeCell ref="F368:I368"/>
    <mergeCell ref="L368:M368"/>
    <mergeCell ref="N368:Q368"/>
    <mergeCell ref="F369:I369"/>
    <mergeCell ref="F359:I359"/>
    <mergeCell ref="F358:I358"/>
    <mergeCell ref="F361:I361"/>
    <mergeCell ref="F370:I370"/>
    <mergeCell ref="L370:M370"/>
    <mergeCell ref="N370:Q370"/>
    <mergeCell ref="N365:Q365"/>
    <mergeCell ref="F366:I366"/>
    <mergeCell ref="L366:M366"/>
    <mergeCell ref="L353:M353"/>
    <mergeCell ref="N353:Q353"/>
    <mergeCell ref="F389:I389"/>
    <mergeCell ref="L389:M389"/>
    <mergeCell ref="N389:Q389"/>
    <mergeCell ref="F382:I382"/>
    <mergeCell ref="L382:M382"/>
    <mergeCell ref="N382:Q382"/>
    <mergeCell ref="F383:I383"/>
    <mergeCell ref="L376:M376"/>
    <mergeCell ref="N376:Q376"/>
    <mergeCell ref="F377:I377"/>
    <mergeCell ref="L377:M377"/>
    <mergeCell ref="N377:Q377"/>
    <mergeCell ref="F371:I371"/>
    <mergeCell ref="F372:I372"/>
    <mergeCell ref="L372:M372"/>
    <mergeCell ref="N372:Q372"/>
    <mergeCell ref="F373:I373"/>
    <mergeCell ref="F374:I374"/>
    <mergeCell ref="L374:M374"/>
    <mergeCell ref="N374:Q374"/>
    <mergeCell ref="N366:Q366"/>
    <mergeCell ref="F367:I367"/>
    <mergeCell ref="F375:I375"/>
    <mergeCell ref="F376:I376"/>
    <mergeCell ref="F414:I414"/>
    <mergeCell ref="L414:M414"/>
    <mergeCell ref="N414:Q414"/>
    <mergeCell ref="F422:I422"/>
    <mergeCell ref="F425:I425"/>
    <mergeCell ref="F426:I426"/>
    <mergeCell ref="N425:Q425"/>
    <mergeCell ref="F416:I416"/>
    <mergeCell ref="N393:Q393"/>
    <mergeCell ref="F394:I394"/>
    <mergeCell ref="F395:I395"/>
    <mergeCell ref="F396:I396"/>
    <mergeCell ref="F393:I393"/>
    <mergeCell ref="L393:M393"/>
    <mergeCell ref="N421:Q421"/>
    <mergeCell ref="F424:I424"/>
    <mergeCell ref="N378:Q378"/>
    <mergeCell ref="F379:I379"/>
    <mergeCell ref="L379:M379"/>
    <mergeCell ref="N379:Q379"/>
    <mergeCell ref="N380:Q380"/>
    <mergeCell ref="N381:Q381"/>
    <mergeCell ref="F384:I384"/>
    <mergeCell ref="F385:I385"/>
    <mergeCell ref="F390:I390"/>
    <mergeCell ref="F388:I388"/>
    <mergeCell ref="L388:M388"/>
    <mergeCell ref="N388:Q388"/>
    <mergeCell ref="F429:I429"/>
    <mergeCell ref="L429:M429"/>
    <mergeCell ref="N429:Q429"/>
    <mergeCell ref="F398:I398"/>
    <mergeCell ref="F399:I399"/>
    <mergeCell ref="L399:M399"/>
    <mergeCell ref="N399:Q399"/>
    <mergeCell ref="F406:I406"/>
    <mergeCell ref="L406:M406"/>
    <mergeCell ref="N406:Q406"/>
    <mergeCell ref="N397:Q397"/>
    <mergeCell ref="L397:M397"/>
    <mergeCell ref="F397:I397"/>
    <mergeCell ref="F402:I402"/>
    <mergeCell ref="F403:I403"/>
    <mergeCell ref="F430:I430"/>
    <mergeCell ref="F428:I428"/>
    <mergeCell ref="F407:I407"/>
    <mergeCell ref="F409:I409"/>
    <mergeCell ref="F423:I423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N413:Q413"/>
    <mergeCell ref="F401:I401"/>
    <mergeCell ref="F400:I400"/>
    <mergeCell ref="F431:I431"/>
    <mergeCell ref="L431:M431"/>
    <mergeCell ref="N431:Q431"/>
    <mergeCell ref="F419:I419"/>
    <mergeCell ref="L419:M419"/>
    <mergeCell ref="N419:Q419"/>
    <mergeCell ref="F417:I417"/>
    <mergeCell ref="F418:I418"/>
    <mergeCell ref="L418:M418"/>
    <mergeCell ref="N418:Q418"/>
    <mergeCell ref="F445:I445"/>
    <mergeCell ref="L445:M445"/>
    <mergeCell ref="N445:Q445"/>
    <mergeCell ref="L547:M547"/>
    <mergeCell ref="F440:I440"/>
    <mergeCell ref="L440:M440"/>
    <mergeCell ref="N440:Q440"/>
    <mergeCell ref="N547:Q547"/>
    <mergeCell ref="N513:Q513"/>
    <mergeCell ref="F543:I543"/>
    <mergeCell ref="F542:I542"/>
    <mergeCell ref="F447:I447"/>
    <mergeCell ref="L447:M447"/>
    <mergeCell ref="N447:Q447"/>
    <mergeCell ref="F537:I537"/>
    <mergeCell ref="F505:I505"/>
    <mergeCell ref="L505:M505"/>
    <mergeCell ref="N505:Q505"/>
    <mergeCell ref="F509:I509"/>
    <mergeCell ref="L509:M509"/>
    <mergeCell ref="N446:Q446"/>
    <mergeCell ref="F432:I432"/>
    <mergeCell ref="L654:M654"/>
    <mergeCell ref="N654:Q654"/>
    <mergeCell ref="F653:I653"/>
    <mergeCell ref="L653:M653"/>
    <mergeCell ref="N653:Q653"/>
    <mergeCell ref="F644:I644"/>
    <mergeCell ref="L644:M644"/>
    <mergeCell ref="F647:I647"/>
    <mergeCell ref="F648:I648"/>
    <mergeCell ref="F642:I642"/>
    <mergeCell ref="L642:M642"/>
    <mergeCell ref="N642:Q642"/>
    <mergeCell ref="F643:I643"/>
    <mergeCell ref="F632:I632"/>
    <mergeCell ref="L632:M632"/>
    <mergeCell ref="N632:Q632"/>
    <mergeCell ref="F633:I633"/>
    <mergeCell ref="N699:Q699"/>
    <mergeCell ref="F701:I701"/>
    <mergeCell ref="F702:I702"/>
    <mergeCell ref="F704:I704"/>
    <mergeCell ref="L704:M704"/>
    <mergeCell ref="N704:Q704"/>
    <mergeCell ref="F663:I663"/>
    <mergeCell ref="F664:I664"/>
    <mergeCell ref="F724:I724"/>
    <mergeCell ref="F725:I725"/>
    <mergeCell ref="L725:M725"/>
    <mergeCell ref="N725:Q725"/>
    <mergeCell ref="F726:I726"/>
    <mergeCell ref="L726:M726"/>
    <mergeCell ref="N726:Q726"/>
    <mergeCell ref="F700:I700"/>
    <mergeCell ref="F713:I713"/>
    <mergeCell ref="F699:I699"/>
    <mergeCell ref="F688:I688"/>
    <mergeCell ref="F693:I693"/>
    <mergeCell ref="F689:I689"/>
    <mergeCell ref="L689:M689"/>
    <mergeCell ref="N689:Q689"/>
    <mergeCell ref="F696:I696"/>
    <mergeCell ref="L696:M696"/>
    <mergeCell ref="N696:Q696"/>
    <mergeCell ref="F697:I697"/>
    <mergeCell ref="F698:I698"/>
    <mergeCell ref="L698:M698"/>
    <mergeCell ref="N698:Q698"/>
    <mergeCell ref="F690:I690"/>
    <mergeCell ref="N706:Q706"/>
    <mergeCell ref="F754:I754"/>
    <mergeCell ref="L754:M754"/>
    <mergeCell ref="N754:Q754"/>
    <mergeCell ref="F740:I740"/>
    <mergeCell ref="L740:M740"/>
    <mergeCell ref="N740:Q740"/>
    <mergeCell ref="N775:Q775"/>
    <mergeCell ref="F776:I776"/>
    <mergeCell ref="F757:I757"/>
    <mergeCell ref="L757:M757"/>
    <mergeCell ref="N757:Q757"/>
    <mergeCell ref="F760:I760"/>
    <mergeCell ref="L760:M760"/>
    <mergeCell ref="N760:Q760"/>
    <mergeCell ref="F761:I761"/>
    <mergeCell ref="L761:M761"/>
    <mergeCell ref="F769:I769"/>
    <mergeCell ref="F747:I747"/>
    <mergeCell ref="F748:I748"/>
    <mergeCell ref="L748:M748"/>
    <mergeCell ref="N748:Q748"/>
    <mergeCell ref="F749:I749"/>
    <mergeCell ref="L749:M749"/>
    <mergeCell ref="N749:Q749"/>
    <mergeCell ref="L768:M768"/>
    <mergeCell ref="N768:Q768"/>
    <mergeCell ref="N761:Q761"/>
    <mergeCell ref="F758:I758"/>
    <mergeCell ref="F759:I759"/>
    <mergeCell ref="F772:I772"/>
    <mergeCell ref="F804:I804"/>
    <mergeCell ref="F799:I799"/>
    <mergeCell ref="L806:M806"/>
    <mergeCell ref="N806:Q806"/>
    <mergeCell ref="N314:Q314"/>
    <mergeCell ref="F316:I316"/>
    <mergeCell ref="F315:I315"/>
    <mergeCell ref="F335:I335"/>
    <mergeCell ref="N320:Q320"/>
    <mergeCell ref="F321:I321"/>
    <mergeCell ref="L321:M321"/>
    <mergeCell ref="N321:Q321"/>
    <mergeCell ref="F327:I327"/>
    <mergeCell ref="F328:I328"/>
    <mergeCell ref="F337:I337"/>
    <mergeCell ref="L337:M337"/>
    <mergeCell ref="N337:Q337"/>
    <mergeCell ref="F336:I336"/>
    <mergeCell ref="F332:I332"/>
    <mergeCell ref="L332:M332"/>
    <mergeCell ref="N332:Q332"/>
    <mergeCell ref="N781:Q781"/>
    <mergeCell ref="F782:I782"/>
    <mergeCell ref="L782:M782"/>
    <mergeCell ref="F532:I532"/>
    <mergeCell ref="L465:M465"/>
    <mergeCell ref="N465:Q465"/>
    <mergeCell ref="F466:I466"/>
    <mergeCell ref="L466:M466"/>
    <mergeCell ref="N466:Q466"/>
    <mergeCell ref="F762:I762"/>
    <mergeCell ref="L762:M762"/>
    <mergeCell ref="F434:I434"/>
    <mergeCell ref="F461:I461"/>
    <mergeCell ref="F462:I462"/>
    <mergeCell ref="F510:I510"/>
    <mergeCell ref="L510:M510"/>
    <mergeCell ref="N510:Q510"/>
    <mergeCell ref="F511:I511"/>
    <mergeCell ref="F538:I538"/>
    <mergeCell ref="F483:I483"/>
    <mergeCell ref="L483:M483"/>
    <mergeCell ref="N483:Q483"/>
    <mergeCell ref="F484:I484"/>
    <mergeCell ref="L484:M484"/>
    <mergeCell ref="N484:Q484"/>
    <mergeCell ref="E485:I485"/>
    <mergeCell ref="L485:M485"/>
    <mergeCell ref="N485:Q485"/>
    <mergeCell ref="L487:M487"/>
    <mergeCell ref="F533:I533"/>
    <mergeCell ref="F534:I534"/>
    <mergeCell ref="F508:I508"/>
    <mergeCell ref="L508:M508"/>
    <mergeCell ref="N508:Q508"/>
    <mergeCell ref="F535:I535"/>
    <mergeCell ref="F536:I536"/>
    <mergeCell ref="N509:Q509"/>
    <mergeCell ref="L511:M511"/>
    <mergeCell ref="F526:I526"/>
    <mergeCell ref="L699:M699"/>
    <mergeCell ref="F322:I322"/>
    <mergeCell ref="L322:M322"/>
    <mergeCell ref="N322:Q322"/>
    <mergeCell ref="F323:I323"/>
    <mergeCell ref="F324:I324"/>
    <mergeCell ref="F356:I356"/>
    <mergeCell ref="L356:M356"/>
    <mergeCell ref="F408:I408"/>
    <mergeCell ref="L425:M425"/>
    <mergeCell ref="F444:I444"/>
    <mergeCell ref="F435:I435"/>
    <mergeCell ref="F436:I436"/>
    <mergeCell ref="L434:M434"/>
    <mergeCell ref="N434:Q434"/>
    <mergeCell ref="F442:I442"/>
    <mergeCell ref="F443:I443"/>
    <mergeCell ref="L443:M443"/>
    <mergeCell ref="N443:Q443"/>
    <mergeCell ref="F427:I427"/>
    <mergeCell ref="L427:M427"/>
    <mergeCell ref="N427:Q427"/>
    <mergeCell ref="F420:I420"/>
    <mergeCell ref="L420:M420"/>
    <mergeCell ref="N420:Q420"/>
    <mergeCell ref="F421:I421"/>
    <mergeCell ref="L421:M421"/>
    <mergeCell ref="L436:M436"/>
    <mergeCell ref="N436:Q436"/>
    <mergeCell ref="F433:I433"/>
    <mergeCell ref="L433:M433"/>
    <mergeCell ref="N433:Q433"/>
    <mergeCell ref="L560:M560"/>
    <mergeCell ref="N560:Q560"/>
    <mergeCell ref="N563:Q563"/>
    <mergeCell ref="F569:I569"/>
    <mergeCell ref="F570:I570"/>
    <mergeCell ref="F571:I571"/>
    <mergeCell ref="L571:M571"/>
    <mergeCell ref="N571:Q571"/>
    <mergeCell ref="E565:I565"/>
    <mergeCell ref="L565:M565"/>
    <mergeCell ref="N565:Q565"/>
    <mergeCell ref="L693:M693"/>
    <mergeCell ref="N693:Q693"/>
    <mergeCell ref="F694:I694"/>
    <mergeCell ref="F692:I692"/>
    <mergeCell ref="F695:I695"/>
    <mergeCell ref="F566:I566"/>
    <mergeCell ref="L566:M566"/>
    <mergeCell ref="F582:I582"/>
    <mergeCell ref="L582:M582"/>
    <mergeCell ref="N629:Q629"/>
    <mergeCell ref="F630:I630"/>
    <mergeCell ref="L630:M630"/>
    <mergeCell ref="N630:Q630"/>
    <mergeCell ref="F631:I631"/>
    <mergeCell ref="F639:I639"/>
    <mergeCell ref="F640:I640"/>
    <mergeCell ref="F651:I651"/>
    <mergeCell ref="L651:M651"/>
    <mergeCell ref="N651:Q651"/>
    <mergeCell ref="F652:I652"/>
    <mergeCell ref="F654:I654"/>
    <mergeCell ref="F175:I175"/>
    <mergeCell ref="L175:M175"/>
    <mergeCell ref="N175:Q175"/>
    <mergeCell ref="L181:M181"/>
    <mergeCell ref="N181:Q181"/>
    <mergeCell ref="F182:I182"/>
    <mergeCell ref="L182:M182"/>
    <mergeCell ref="L777:M777"/>
    <mergeCell ref="N777:Q777"/>
    <mergeCell ref="N770:Q770"/>
    <mergeCell ref="F771:I771"/>
    <mergeCell ref="L771:M771"/>
    <mergeCell ref="N771:Q771"/>
    <mergeCell ref="F773:I773"/>
    <mergeCell ref="F774:I774"/>
    <mergeCell ref="L774:M774"/>
    <mergeCell ref="N774:Q774"/>
    <mergeCell ref="L776:M776"/>
    <mergeCell ref="N776:Q776"/>
    <mergeCell ref="F741:I741"/>
    <mergeCell ref="L741:M741"/>
    <mergeCell ref="N741:Q741"/>
    <mergeCell ref="F775:I775"/>
    <mergeCell ref="N182:Q182"/>
    <mergeCell ref="L775:M775"/>
    <mergeCell ref="F183:I183"/>
    <mergeCell ref="F176:I176"/>
    <mergeCell ref="L769:M769"/>
    <mergeCell ref="N769:Q769"/>
    <mergeCell ref="F768:I768"/>
    <mergeCell ref="F703:I703"/>
    <mergeCell ref="F723:I723"/>
    <mergeCell ref="F161:I161"/>
    <mergeCell ref="F171:I171"/>
    <mergeCell ref="L171:M171"/>
    <mergeCell ref="N171:Q171"/>
    <mergeCell ref="F172:I172"/>
    <mergeCell ref="F165:I165"/>
    <mergeCell ref="L165:M165"/>
    <mergeCell ref="N165:Q165"/>
    <mergeCell ref="F166:I166"/>
    <mergeCell ref="F163:I163"/>
    <mergeCell ref="L163:M163"/>
    <mergeCell ref="N163:Q163"/>
    <mergeCell ref="F164:I164"/>
    <mergeCell ref="F158:I158"/>
    <mergeCell ref="L158:M158"/>
    <mergeCell ref="N158:Q158"/>
    <mergeCell ref="F159:I159"/>
    <mergeCell ref="F160:I160"/>
    <mergeCell ref="L160:M160"/>
    <mergeCell ref="N160:Q160"/>
    <mergeCell ref="F162:I162"/>
    <mergeCell ref="F156:I156"/>
    <mergeCell ref="L156:M156"/>
    <mergeCell ref="N156:Q156"/>
    <mergeCell ref="F157:I157"/>
    <mergeCell ref="N170:Q170"/>
    <mergeCell ref="F168:I168"/>
    <mergeCell ref="F173:I173"/>
    <mergeCell ref="N173:Q173"/>
    <mergeCell ref="L695:M695"/>
    <mergeCell ref="N695:Q695"/>
    <mergeCell ref="L690:M690"/>
    <mergeCell ref="N690:Q690"/>
    <mergeCell ref="N798:Q798"/>
    <mergeCell ref="N786:Q786"/>
    <mergeCell ref="F784:I784"/>
    <mergeCell ref="L784:M784"/>
    <mergeCell ref="N784:Q784"/>
    <mergeCell ref="F785:I785"/>
    <mergeCell ref="L785:M785"/>
    <mergeCell ref="N785:Q785"/>
    <mergeCell ref="F787:I787"/>
    <mergeCell ref="L787:M787"/>
    <mergeCell ref="N782:Q782"/>
    <mergeCell ref="F783:I783"/>
    <mergeCell ref="F719:I719"/>
    <mergeCell ref="L709:M709"/>
    <mergeCell ref="N709:Q709"/>
    <mergeCell ref="N731:Q731"/>
    <mergeCell ref="F732:I732"/>
    <mergeCell ref="F733:I733"/>
    <mergeCell ref="L733:M733"/>
    <mergeCell ref="N733:Q733"/>
    <mergeCell ref="L723:M723"/>
    <mergeCell ref="N723:Q723"/>
    <mergeCell ref="L720:M720"/>
    <mergeCell ref="F802:I802"/>
    <mergeCell ref="L802:M802"/>
    <mergeCell ref="N802:Q802"/>
    <mergeCell ref="F780:I780"/>
    <mergeCell ref="L780:M780"/>
    <mergeCell ref="N780:Q780"/>
    <mergeCell ref="F777:I777"/>
    <mergeCell ref="F778:I778"/>
    <mergeCell ref="L778:M778"/>
    <mergeCell ref="N778:Q778"/>
    <mergeCell ref="F779:I779"/>
    <mergeCell ref="F795:I795"/>
    <mergeCell ref="L795:M795"/>
    <mergeCell ref="N795:Q795"/>
    <mergeCell ref="F796:I796"/>
    <mergeCell ref="F797:I797"/>
    <mergeCell ref="L797:M797"/>
    <mergeCell ref="N797:Q797"/>
    <mergeCell ref="F798:I798"/>
    <mergeCell ref="L798:M798"/>
    <mergeCell ref="N800:Q800"/>
    <mergeCell ref="F801:I801"/>
    <mergeCell ref="F800:I800"/>
    <mergeCell ref="N721:Q721"/>
    <mergeCell ref="N735:Q735"/>
    <mergeCell ref="F736:I736"/>
    <mergeCell ref="F750:I750"/>
    <mergeCell ref="F751:I751"/>
    <mergeCell ref="N762:Q762"/>
    <mergeCell ref="N521:Q521"/>
    <mergeCell ref="L496:M496"/>
    <mergeCell ref="N496:Q496"/>
    <mergeCell ref="F497:I497"/>
    <mergeCell ref="F498:I498"/>
    <mergeCell ref="F522:I522"/>
    <mergeCell ref="F523:I523"/>
    <mergeCell ref="F525:I525"/>
    <mergeCell ref="F518:I518"/>
    <mergeCell ref="L518:M518"/>
    <mergeCell ref="N518:Q518"/>
    <mergeCell ref="N566:Q566"/>
    <mergeCell ref="F567:I567"/>
    <mergeCell ref="F568:I568"/>
    <mergeCell ref="L568:M568"/>
    <mergeCell ref="N568:Q568"/>
    <mergeCell ref="N548:Q548"/>
    <mergeCell ref="N549:Q549"/>
    <mergeCell ref="F562:I562"/>
    <mergeCell ref="F563:I563"/>
    <mergeCell ref="L563:M563"/>
    <mergeCell ref="F557:I557"/>
    <mergeCell ref="L557:M557"/>
    <mergeCell ref="F556:I556"/>
    <mergeCell ref="F527:I527"/>
    <mergeCell ref="L527:M527"/>
    <mergeCell ref="N527:Q527"/>
    <mergeCell ref="F528:I528"/>
    <mergeCell ref="N557:Q557"/>
    <mergeCell ref="F558:I558"/>
    <mergeCell ref="L559:M559"/>
    <mergeCell ref="N559:Q559"/>
    <mergeCell ref="N463:Q463"/>
    <mergeCell ref="F506:I506"/>
    <mergeCell ref="F507:I507"/>
    <mergeCell ref="E476:I476"/>
    <mergeCell ref="L476:M476"/>
    <mergeCell ref="N476:Q476"/>
    <mergeCell ref="F479:I479"/>
    <mergeCell ref="F480:I480"/>
    <mergeCell ref="N481:Q481"/>
    <mergeCell ref="F628:I628"/>
    <mergeCell ref="L628:M628"/>
    <mergeCell ref="N628:Q628"/>
    <mergeCell ref="L608:M608"/>
    <mergeCell ref="E608:I608"/>
    <mergeCell ref="F610:I610"/>
    <mergeCell ref="L610:M610"/>
    <mergeCell ref="N610:Q610"/>
    <mergeCell ref="F611:I611"/>
    <mergeCell ref="F612:I612"/>
    <mergeCell ref="F547:I547"/>
    <mergeCell ref="L542:M542"/>
    <mergeCell ref="N542:Q542"/>
    <mergeCell ref="L543:M543"/>
    <mergeCell ref="N543:Q543"/>
    <mergeCell ref="F530:I530"/>
    <mergeCell ref="L530:M530"/>
    <mergeCell ref="N530:Q530"/>
    <mergeCell ref="F531:I531"/>
    <mergeCell ref="N493:Q493"/>
    <mergeCell ref="F496:I496"/>
    <mergeCell ref="N511:Q511"/>
    <mergeCell ref="L521:M521"/>
    <mergeCell ref="F521:I521"/>
    <mergeCell ref="F513:I513"/>
    <mergeCell ref="L513:M513"/>
    <mergeCell ref="F441:I441"/>
    <mergeCell ref="F514:I514"/>
    <mergeCell ref="F517:I517"/>
    <mergeCell ref="L517:M517"/>
    <mergeCell ref="N517:Q517"/>
    <mergeCell ref="F665:I665"/>
    <mergeCell ref="E512:I512"/>
    <mergeCell ref="F515:I515"/>
    <mergeCell ref="E467:I467"/>
    <mergeCell ref="L467:M467"/>
    <mergeCell ref="N467:Q467"/>
    <mergeCell ref="L478:M478"/>
    <mergeCell ref="N478:Q478"/>
    <mergeCell ref="L482:M482"/>
    <mergeCell ref="N482:Q482"/>
    <mergeCell ref="F524:I524"/>
    <mergeCell ref="L524:M524"/>
    <mergeCell ref="N524:Q524"/>
    <mergeCell ref="F554:I554"/>
    <mergeCell ref="L554:M554"/>
    <mergeCell ref="N554:Q554"/>
    <mergeCell ref="N457:Q457"/>
    <mergeCell ref="F488:I488"/>
    <mergeCell ref="F617:I617"/>
    <mergeCell ref="L617:M617"/>
    <mergeCell ref="L456:M456"/>
    <mergeCell ref="N456:Q456"/>
    <mergeCell ref="F463:I463"/>
    <mergeCell ref="L463:M463"/>
    <mergeCell ref="F687:I687"/>
    <mergeCell ref="L687:M687"/>
    <mergeCell ref="N687:Q687"/>
    <mergeCell ref="F667:I667"/>
    <mergeCell ref="F662:I662"/>
    <mergeCell ref="F668:I668"/>
    <mergeCell ref="L668:M668"/>
    <mergeCell ref="N668:Q668"/>
    <mergeCell ref="N669:Q669"/>
    <mergeCell ref="F680:I680"/>
    <mergeCell ref="L680:M680"/>
    <mergeCell ref="F672:I672"/>
    <mergeCell ref="F673:I673"/>
    <mergeCell ref="L528:M528"/>
    <mergeCell ref="N528:Q528"/>
    <mergeCell ref="F660:I660"/>
    <mergeCell ref="L660:M660"/>
    <mergeCell ref="N660:Q660"/>
    <mergeCell ref="F674:I674"/>
    <mergeCell ref="F627:I627"/>
    <mergeCell ref="L627:M627"/>
    <mergeCell ref="N627:Q627"/>
    <mergeCell ref="L624:M624"/>
    <mergeCell ref="N617:Q617"/>
    <mergeCell ref="F604:I604"/>
    <mergeCell ref="F559:I559"/>
    <mergeCell ref="F550:I550"/>
    <mergeCell ref="L550:M550"/>
    <mergeCell ref="N550:Q550"/>
    <mergeCell ref="E551:I551"/>
    <mergeCell ref="F624:I624"/>
    <mergeCell ref="E560:I560"/>
    <mergeCell ref="F457:I457"/>
    <mergeCell ref="L457:M457"/>
    <mergeCell ref="N453:Q453"/>
    <mergeCell ref="L612:M612"/>
    <mergeCell ref="N612:Q612"/>
    <mergeCell ref="F613:I613"/>
    <mergeCell ref="L613:M613"/>
    <mergeCell ref="N613:Q613"/>
    <mergeCell ref="F614:I614"/>
    <mergeCell ref="L614:M614"/>
    <mergeCell ref="N614:Q614"/>
    <mergeCell ref="F615:I615"/>
    <mergeCell ref="L615:M615"/>
    <mergeCell ref="N615:Q615"/>
    <mergeCell ref="F616:I616"/>
    <mergeCell ref="F501:I501"/>
    <mergeCell ref="L501:M501"/>
    <mergeCell ref="N501:Q501"/>
    <mergeCell ref="F502:I502"/>
    <mergeCell ref="L502:M502"/>
    <mergeCell ref="N502:Q502"/>
    <mergeCell ref="L519:M519"/>
    <mergeCell ref="N519:Q519"/>
    <mergeCell ref="F520:I520"/>
    <mergeCell ref="L520:M520"/>
    <mergeCell ref="N520:Q520"/>
    <mergeCell ref="F481:I481"/>
    <mergeCell ref="L481:M481"/>
    <mergeCell ref="F487:I487"/>
    <mergeCell ref="F474:I474"/>
    <mergeCell ref="L469:M469"/>
    <mergeCell ref="N469:Q469"/>
    <mergeCell ref="F470:I470"/>
    <mergeCell ref="F471:I471"/>
    <mergeCell ref="F472:I472"/>
    <mergeCell ref="L472:M472"/>
    <mergeCell ref="N472:Q472"/>
    <mergeCell ref="F473:I473"/>
    <mergeCell ref="L473:M473"/>
    <mergeCell ref="N473:Q473"/>
    <mergeCell ref="E494:I494"/>
    <mergeCell ref="L494:M494"/>
    <mergeCell ref="F475:I475"/>
    <mergeCell ref="L475:M475"/>
    <mergeCell ref="N475:Q475"/>
    <mergeCell ref="F478:I478"/>
    <mergeCell ref="N491:Q491"/>
    <mergeCell ref="F492:I492"/>
    <mergeCell ref="L492:M492"/>
    <mergeCell ref="N492:Q492"/>
    <mergeCell ref="F493:I493"/>
    <mergeCell ref="L493:M493"/>
    <mergeCell ref="L474:M474"/>
    <mergeCell ref="N474:Q474"/>
    <mergeCell ref="F489:I489"/>
    <mergeCell ref="F490:I490"/>
    <mergeCell ref="L490:M490"/>
    <mergeCell ref="N490:Q490"/>
    <mergeCell ref="F491:I491"/>
    <mergeCell ref="L491:M491"/>
    <mergeCell ref="N494:Q494"/>
    <mergeCell ref="F482:I482"/>
    <mergeCell ref="N487:Q487"/>
    <mergeCell ref="L705:M705"/>
    <mergeCell ref="N705:Q705"/>
    <mergeCell ref="F721:I721"/>
    <mergeCell ref="L721:M721"/>
    <mergeCell ref="F691:I691"/>
    <mergeCell ref="L692:M692"/>
    <mergeCell ref="N692:Q692"/>
    <mergeCell ref="N624:Q624"/>
    <mergeCell ref="F720:I720"/>
    <mergeCell ref="F199:I199"/>
    <mergeCell ref="F618:I618"/>
    <mergeCell ref="L618:M618"/>
    <mergeCell ref="N618:Q618"/>
    <mergeCell ref="F678:I678"/>
    <mergeCell ref="L678:M678"/>
    <mergeCell ref="N678:Q678"/>
    <mergeCell ref="F679:I679"/>
    <mergeCell ref="E529:I529"/>
    <mergeCell ref="L529:M529"/>
    <mergeCell ref="N529:Q529"/>
    <mergeCell ref="E448:I448"/>
    <mergeCell ref="L448:M448"/>
    <mergeCell ref="N448:Q448"/>
    <mergeCell ref="F450:I450"/>
    <mergeCell ref="L450:M450"/>
    <mergeCell ref="N450:Q450"/>
    <mergeCell ref="F451:I451"/>
    <mergeCell ref="F452:I452"/>
    <mergeCell ref="L452:M452"/>
    <mergeCell ref="N452:Q452"/>
    <mergeCell ref="F453:I453"/>
    <mergeCell ref="L453:M453"/>
    <mergeCell ref="F454:I454"/>
    <mergeCell ref="F666:I666"/>
    <mergeCell ref="F455:I455"/>
    <mergeCell ref="F456:I456"/>
    <mergeCell ref="F499:I499"/>
    <mergeCell ref="L499:M499"/>
    <mergeCell ref="N499:Q499"/>
    <mergeCell ref="F500:I500"/>
    <mergeCell ref="F319:I319"/>
    <mergeCell ref="L319:M319"/>
    <mergeCell ref="N319:Q319"/>
    <mergeCell ref="F449:I449"/>
    <mergeCell ref="F459:I459"/>
    <mergeCell ref="F468:I468"/>
    <mergeCell ref="F477:I477"/>
    <mergeCell ref="F486:I486"/>
    <mergeCell ref="F495:I495"/>
    <mergeCell ref="F504:I504"/>
    <mergeCell ref="F602:I602"/>
    <mergeCell ref="F609:I609"/>
    <mergeCell ref="F620:I620"/>
    <mergeCell ref="F437:I437"/>
    <mergeCell ref="L437:M437"/>
    <mergeCell ref="N437:Q437"/>
    <mergeCell ref="F438:I438"/>
    <mergeCell ref="F439:I439"/>
    <mergeCell ref="L439:M439"/>
    <mergeCell ref="N439:Q439"/>
    <mergeCell ref="L500:M500"/>
    <mergeCell ref="N500:Q500"/>
    <mergeCell ref="F519:I519"/>
    <mergeCell ref="F469:I46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headerFooter>
    <oddHeader>&amp;LBD Hübnerové&amp;ROdhad stavebních nákladů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31"/>
  <sheetViews>
    <sheetView showGridLines="0" view="pageBreakPreview" zoomScaleSheetLayoutView="100" workbookViewId="0" topLeftCell="A1">
      <pane ySplit="1" topLeftCell="A2" activePane="bottomLeft" state="frozen"/>
      <selection pane="topLeft" activeCell="F118" sqref="F118:I118"/>
      <selection pane="bottomLeft" activeCell="F5" sqref="F5:P5"/>
    </sheetView>
  </sheetViews>
  <sheetFormatPr defaultColWidth="9.33203125" defaultRowHeight="13.5" outlineLevelRow="1" outlineLevelCol="1"/>
  <cols>
    <col min="1" max="1" width="8.33203125" style="4" customWidth="1"/>
    <col min="2" max="2" width="1.66796875" style="4" customWidth="1"/>
    <col min="3" max="3" width="4.16015625" style="4" customWidth="1"/>
    <col min="4" max="4" width="4.33203125" style="4" customWidth="1"/>
    <col min="5" max="5" width="22.33203125" style="4" customWidth="1"/>
    <col min="6" max="6" width="13.83203125" style="4" customWidth="1"/>
    <col min="7" max="7" width="11.16015625" style="4" customWidth="1"/>
    <col min="8" max="8" width="12.5" style="4" customWidth="1"/>
    <col min="9" max="9" width="34.33203125" style="4" customWidth="1"/>
    <col min="10" max="10" width="8" style="183" customWidth="1"/>
    <col min="11" max="11" width="15.5" style="4" customWidth="1"/>
    <col min="12" max="12" width="12" style="4" customWidth="1"/>
    <col min="13" max="13" width="7.5" style="4" customWidth="1"/>
    <col min="14" max="14" width="6" style="4" customWidth="1"/>
    <col min="15" max="15" width="2" style="4" customWidth="1"/>
    <col min="16" max="16" width="12.5" style="4" customWidth="1"/>
    <col min="17" max="17" width="4.16015625" style="4" customWidth="1"/>
    <col min="18" max="18" width="1.66796875" style="4" customWidth="1"/>
    <col min="19" max="19" width="2" style="4" customWidth="1"/>
    <col min="20" max="20" width="25.33203125" style="129" customWidth="1" outlineLevel="1"/>
    <col min="21" max="16384" width="9.33203125" style="4" customWidth="1"/>
  </cols>
  <sheetData>
    <row r="1" spans="2:18" ht="13.5">
      <c r="B1" s="1"/>
      <c r="C1" s="2"/>
      <c r="D1" s="2"/>
      <c r="E1" s="2"/>
      <c r="F1" s="2"/>
      <c r="G1" s="2"/>
      <c r="H1" s="2"/>
      <c r="I1" s="2"/>
      <c r="J1" s="144"/>
      <c r="K1" s="2"/>
      <c r="L1" s="2"/>
      <c r="M1" s="2"/>
      <c r="N1" s="2"/>
      <c r="O1" s="2"/>
      <c r="P1" s="2"/>
      <c r="Q1" s="2"/>
      <c r="R1" s="3"/>
    </row>
    <row r="2" spans="2:18" ht="20.25">
      <c r="B2" s="5"/>
      <c r="C2" s="596" t="s">
        <v>38</v>
      </c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6"/>
    </row>
    <row r="3" spans="2:18" ht="13.5">
      <c r="B3" s="5"/>
      <c r="J3" s="145"/>
      <c r="R3" s="6"/>
    </row>
    <row r="4" spans="2:18" ht="12">
      <c r="B4" s="5"/>
      <c r="D4" s="7" t="s">
        <v>3</v>
      </c>
      <c r="F4" s="620" t="str">
        <f>Rekapitulace!K4</f>
        <v>Stavební úpravy, vestavba a přístavba stávajícího objektu</v>
      </c>
      <c r="G4" s="621"/>
      <c r="H4" s="621"/>
      <c r="I4" s="621"/>
      <c r="J4" s="621"/>
      <c r="K4" s="621"/>
      <c r="L4" s="621"/>
      <c r="M4" s="621"/>
      <c r="N4" s="621"/>
      <c r="O4" s="621"/>
      <c r="P4" s="621"/>
      <c r="R4" s="6"/>
    </row>
    <row r="5" spans="2:18" ht="15.75">
      <c r="B5" s="5"/>
      <c r="D5" s="8" t="s">
        <v>39</v>
      </c>
      <c r="F5" s="590" t="s">
        <v>472</v>
      </c>
      <c r="G5" s="603"/>
      <c r="H5" s="603"/>
      <c r="I5" s="603"/>
      <c r="J5" s="603"/>
      <c r="K5" s="603"/>
      <c r="L5" s="603"/>
      <c r="M5" s="603"/>
      <c r="N5" s="603"/>
      <c r="O5" s="603"/>
      <c r="P5" s="603"/>
      <c r="R5" s="6"/>
    </row>
    <row r="6" spans="2:18" ht="12">
      <c r="B6" s="5"/>
      <c r="D6" s="7" t="s">
        <v>4</v>
      </c>
      <c r="F6" s="9" t="s">
        <v>0</v>
      </c>
      <c r="J6" s="145"/>
      <c r="M6" s="7" t="s">
        <v>5</v>
      </c>
      <c r="O6" s="9" t="s">
        <v>0</v>
      </c>
      <c r="R6" s="6"/>
    </row>
    <row r="7" spans="2:18" ht="12">
      <c r="B7" s="5"/>
      <c r="D7" s="7" t="s">
        <v>6</v>
      </c>
      <c r="F7" s="9" t="str">
        <f>Rekapitulace!I81</f>
        <v>Mírové náměstí 23/12, Bílina - p.č. 124, 125/1, 125/2, 125/3, k.ú. Bílina (604208)</v>
      </c>
      <c r="J7" s="145"/>
      <c r="M7" s="7" t="s">
        <v>7</v>
      </c>
      <c r="O7" s="616">
        <f>Rekapitulace!AN6</f>
        <v>0</v>
      </c>
      <c r="P7" s="616"/>
      <c r="R7" s="6"/>
    </row>
    <row r="8" spans="2:18" ht="13.5">
      <c r="B8" s="5"/>
      <c r="J8" s="145"/>
      <c r="R8" s="6"/>
    </row>
    <row r="9" spans="2:18" ht="12">
      <c r="B9" s="5"/>
      <c r="D9" s="7" t="s">
        <v>8</v>
      </c>
      <c r="F9" s="4" t="str">
        <f>Rekapitulace!K8</f>
        <v>město Bílina</v>
      </c>
      <c r="J9" s="145"/>
      <c r="M9" s="7" t="s">
        <v>9</v>
      </c>
      <c r="O9" s="591" t="s">
        <v>0</v>
      </c>
      <c r="P9" s="591"/>
      <c r="R9" s="6"/>
    </row>
    <row r="10" spans="2:18" ht="12">
      <c r="B10" s="5"/>
      <c r="E10" s="9"/>
      <c r="J10" s="145"/>
      <c r="M10" s="7" t="s">
        <v>10</v>
      </c>
      <c r="O10" s="591" t="s">
        <v>0</v>
      </c>
      <c r="P10" s="591"/>
      <c r="R10" s="6"/>
    </row>
    <row r="11" spans="2:18" ht="13.5">
      <c r="B11" s="5"/>
      <c r="J11" s="145"/>
      <c r="R11" s="6"/>
    </row>
    <row r="12" spans="2:18" ht="12">
      <c r="B12" s="5"/>
      <c r="D12" s="7" t="s">
        <v>11</v>
      </c>
      <c r="F12" s="635">
        <f>Rekapitulace!K11</f>
        <v>0</v>
      </c>
      <c r="G12" s="635"/>
      <c r="H12" s="635"/>
      <c r="I12" s="635"/>
      <c r="J12" s="145"/>
      <c r="M12" s="7" t="s">
        <v>9</v>
      </c>
      <c r="O12" s="591" t="str">
        <f>IF(Rekapitulace!AN11="","",Rekapitulace!AN11)</f>
        <v/>
      </c>
      <c r="P12" s="591"/>
      <c r="R12" s="6"/>
    </row>
    <row r="13" spans="2:18" ht="12">
      <c r="B13" s="5"/>
      <c r="E13" s="9" t="str">
        <f>IF(Rekapitulace!E12="","",Rekapitulace!E12)</f>
        <v xml:space="preserve"> </v>
      </c>
      <c r="J13" s="145"/>
      <c r="M13" s="7" t="s">
        <v>10</v>
      </c>
      <c r="O13" s="591" t="str">
        <f>IF(Rekapitulace!AN12="","",Rekapitulace!AN12)</f>
        <v/>
      </c>
      <c r="P13" s="591"/>
      <c r="R13" s="6"/>
    </row>
    <row r="14" spans="2:18" ht="13.5">
      <c r="B14" s="5"/>
      <c r="J14" s="145"/>
      <c r="R14" s="6"/>
    </row>
    <row r="15" spans="2:18" ht="12">
      <c r="B15" s="5"/>
      <c r="D15" s="7" t="s">
        <v>13</v>
      </c>
      <c r="J15" s="145"/>
      <c r="M15" s="7" t="s">
        <v>9</v>
      </c>
      <c r="O15" s="591" t="s">
        <v>0</v>
      </c>
      <c r="P15" s="591"/>
      <c r="R15" s="6"/>
    </row>
    <row r="16" spans="2:18" ht="12">
      <c r="B16" s="5"/>
      <c r="E16" s="9" t="str">
        <f>Rekapitulace!E15</f>
        <v>Ing. arch. Bořek Peška</v>
      </c>
      <c r="J16" s="145"/>
      <c r="M16" s="7" t="s">
        <v>10</v>
      </c>
      <c r="O16" s="591" t="s">
        <v>0</v>
      </c>
      <c r="P16" s="591"/>
      <c r="R16" s="6"/>
    </row>
    <row r="17" spans="2:18" ht="13.5">
      <c r="B17" s="5"/>
      <c r="J17" s="145"/>
      <c r="R17" s="6"/>
    </row>
    <row r="18" spans="2:18" ht="12">
      <c r="B18" s="5"/>
      <c r="D18" s="7" t="s">
        <v>14</v>
      </c>
      <c r="J18" s="145"/>
      <c r="M18" s="7" t="s">
        <v>9</v>
      </c>
      <c r="O18" s="591" t="s">
        <v>0</v>
      </c>
      <c r="P18" s="591"/>
      <c r="R18" s="6"/>
    </row>
    <row r="19" spans="2:18" ht="12">
      <c r="B19" s="5"/>
      <c r="E19" s="9" t="str">
        <f>Rekapitulace!E18</f>
        <v>Jakub Kulhavý</v>
      </c>
      <c r="J19" s="145"/>
      <c r="M19" s="7" t="s">
        <v>10</v>
      </c>
      <c r="O19" s="591" t="s">
        <v>0</v>
      </c>
      <c r="P19" s="591"/>
      <c r="R19" s="6"/>
    </row>
    <row r="20" spans="2:18" ht="13.5">
      <c r="B20" s="5"/>
      <c r="J20" s="145"/>
      <c r="R20" s="6"/>
    </row>
    <row r="21" spans="2:18" ht="12">
      <c r="B21" s="5"/>
      <c r="D21" s="7" t="s">
        <v>193</v>
      </c>
      <c r="J21" s="145"/>
      <c r="M21" s="7"/>
      <c r="O21" s="591" t="s">
        <v>0</v>
      </c>
      <c r="P21" s="591"/>
      <c r="R21" s="6"/>
    </row>
    <row r="22" spans="2:18" ht="12">
      <c r="B22" s="5"/>
      <c r="E22" s="591" t="str">
        <f>Rekapitulace!E21</f>
        <v>projektové dokumentace ve stupni DPS z 04/2023</v>
      </c>
      <c r="F22" s="591"/>
      <c r="G22" s="591"/>
      <c r="H22" s="591"/>
      <c r="I22" s="591"/>
      <c r="J22" s="591"/>
      <c r="K22" s="591"/>
      <c r="L22" s="591"/>
      <c r="M22" s="591"/>
      <c r="N22" s="591"/>
      <c r="O22" s="591"/>
      <c r="P22" s="591"/>
      <c r="R22" s="6"/>
    </row>
    <row r="23" spans="2:18" ht="13.5">
      <c r="B23" s="5"/>
      <c r="J23" s="145"/>
      <c r="R23" s="6"/>
    </row>
    <row r="24" spans="2:18" ht="12">
      <c r="B24" s="5"/>
      <c r="D24" s="7" t="s">
        <v>96</v>
      </c>
      <c r="J24" s="145"/>
      <c r="R24" s="6"/>
    </row>
    <row r="25" spans="2:20" s="238" customFormat="1" ht="12">
      <c r="B25" s="237"/>
      <c r="D25" s="636"/>
      <c r="E25" s="636"/>
      <c r="F25" s="392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R25" s="239"/>
      <c r="T25" s="393"/>
    </row>
    <row r="26" spans="2:20" s="238" customFormat="1" ht="12">
      <c r="B26" s="237"/>
      <c r="D26" s="635"/>
      <c r="E26" s="635"/>
      <c r="F26" s="19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R26" s="239"/>
      <c r="T26" s="142"/>
    </row>
    <row r="27" spans="2:18" ht="13.5">
      <c r="B27" s="5"/>
      <c r="J27" s="145"/>
      <c r="R27" s="6"/>
    </row>
    <row r="28" spans="2:18" ht="13.5">
      <c r="B28" s="5"/>
      <c r="D28" s="24"/>
      <c r="E28" s="24"/>
      <c r="F28" s="24"/>
      <c r="G28" s="24"/>
      <c r="H28" s="24"/>
      <c r="I28" s="24"/>
      <c r="J28" s="146"/>
      <c r="K28" s="24"/>
      <c r="L28" s="24"/>
      <c r="M28" s="24"/>
      <c r="N28" s="24"/>
      <c r="O28" s="24"/>
      <c r="P28" s="24"/>
      <c r="R28" s="6"/>
    </row>
    <row r="29" spans="2:18" ht="12.75">
      <c r="B29" s="5"/>
      <c r="D29" s="147" t="s">
        <v>40</v>
      </c>
      <c r="J29" s="145"/>
      <c r="M29" s="611">
        <f>N86</f>
        <v>0</v>
      </c>
      <c r="N29" s="611"/>
      <c r="O29" s="611"/>
      <c r="P29" s="611"/>
      <c r="R29" s="6"/>
    </row>
    <row r="30" spans="2:18" ht="13.5">
      <c r="B30" s="5"/>
      <c r="J30" s="145"/>
      <c r="R30" s="6"/>
    </row>
    <row r="31" spans="2:18" ht="12.75">
      <c r="B31" s="5"/>
      <c r="D31" s="148" t="s">
        <v>16</v>
      </c>
      <c r="J31" s="145"/>
      <c r="M31" s="634">
        <f>ROUND(M29,2)</f>
        <v>0</v>
      </c>
      <c r="N31" s="603"/>
      <c r="O31" s="603"/>
      <c r="P31" s="603"/>
      <c r="R31" s="6"/>
    </row>
    <row r="32" spans="2:18" ht="13.5">
      <c r="B32" s="5"/>
      <c r="D32" s="24"/>
      <c r="E32" s="24"/>
      <c r="F32" s="24"/>
      <c r="G32" s="24"/>
      <c r="H32" s="24"/>
      <c r="I32" s="24"/>
      <c r="J32" s="146"/>
      <c r="K32" s="24"/>
      <c r="L32" s="24"/>
      <c r="M32" s="24"/>
      <c r="N32" s="24"/>
      <c r="O32" s="24"/>
      <c r="P32" s="24"/>
      <c r="R32" s="6"/>
    </row>
    <row r="33" spans="2:18" ht="13.5">
      <c r="B33" s="5"/>
      <c r="D33" s="16" t="s">
        <v>17</v>
      </c>
      <c r="E33" s="16" t="s">
        <v>18</v>
      </c>
      <c r="F33" s="149">
        <v>0.21</v>
      </c>
      <c r="G33" s="150" t="s">
        <v>19</v>
      </c>
      <c r="H33" s="587">
        <f>ROUND(M31,2)</f>
        <v>0</v>
      </c>
      <c r="I33" s="603"/>
      <c r="J33" s="603"/>
      <c r="M33" s="640">
        <f>ROUND(H33*F33,2)</f>
        <v>0</v>
      </c>
      <c r="N33" s="603"/>
      <c r="O33" s="603"/>
      <c r="P33" s="603"/>
      <c r="R33" s="6"/>
    </row>
    <row r="34" spans="2:18" ht="13.5">
      <c r="B34" s="5"/>
      <c r="E34" s="16" t="s">
        <v>20</v>
      </c>
      <c r="F34" s="149">
        <v>0.15</v>
      </c>
      <c r="G34" s="150" t="s">
        <v>19</v>
      </c>
      <c r="H34" s="587">
        <v>0</v>
      </c>
      <c r="I34" s="603"/>
      <c r="J34" s="603"/>
      <c r="M34" s="640">
        <f>ROUND(H34*F34,2)</f>
        <v>0</v>
      </c>
      <c r="N34" s="603"/>
      <c r="O34" s="603"/>
      <c r="P34" s="603"/>
      <c r="R34" s="6"/>
    </row>
    <row r="35" spans="2:18" ht="13.5">
      <c r="B35" s="5"/>
      <c r="J35" s="145"/>
      <c r="R35" s="6"/>
    </row>
    <row r="36" spans="2:18" ht="15.75">
      <c r="B36" s="5"/>
      <c r="C36" s="50"/>
      <c r="D36" s="151" t="s">
        <v>24</v>
      </c>
      <c r="E36" s="41"/>
      <c r="F36" s="41"/>
      <c r="G36" s="152" t="s">
        <v>25</v>
      </c>
      <c r="H36" s="153" t="s">
        <v>26</v>
      </c>
      <c r="I36" s="41"/>
      <c r="J36" s="154"/>
      <c r="K36" s="41"/>
      <c r="L36" s="638">
        <f>SUM(M31:M34)</f>
        <v>0</v>
      </c>
      <c r="M36" s="638"/>
      <c r="N36" s="638"/>
      <c r="O36" s="638"/>
      <c r="P36" s="639"/>
      <c r="Q36" s="50"/>
      <c r="R36" s="6"/>
    </row>
    <row r="37" spans="2:18" ht="13.5">
      <c r="B37" s="5"/>
      <c r="J37" s="145"/>
      <c r="R37" s="6"/>
    </row>
    <row r="38" spans="2:18" ht="13.5">
      <c r="B38" s="5"/>
      <c r="J38" s="145"/>
      <c r="R38" s="6"/>
    </row>
    <row r="39" spans="2:18" ht="13.5">
      <c r="B39" s="5"/>
      <c r="J39" s="145"/>
      <c r="R39" s="6"/>
    </row>
    <row r="40" spans="2:18" ht="13.5">
      <c r="B40" s="5"/>
      <c r="J40" s="145"/>
      <c r="R40" s="6"/>
    </row>
    <row r="41" spans="2:18" ht="13.5">
      <c r="B41" s="5"/>
      <c r="J41" s="145"/>
      <c r="R41" s="6"/>
    </row>
    <row r="42" spans="2:18" ht="13.5">
      <c r="B42" s="5"/>
      <c r="J42" s="145"/>
      <c r="R42" s="6"/>
    </row>
    <row r="43" spans="2:18" ht="13.5">
      <c r="B43" s="5"/>
      <c r="J43" s="145"/>
      <c r="R43" s="6"/>
    </row>
    <row r="44" spans="2:18" ht="13.5">
      <c r="B44" s="5"/>
      <c r="J44" s="145"/>
      <c r="R44" s="6"/>
    </row>
    <row r="45" spans="2:18" ht="13.5">
      <c r="B45" s="5"/>
      <c r="J45" s="145"/>
      <c r="R45" s="6"/>
    </row>
    <row r="46" spans="2:18" ht="13.5">
      <c r="B46" s="5"/>
      <c r="J46" s="145"/>
      <c r="R46" s="6"/>
    </row>
    <row r="47" spans="2:18" ht="13.5">
      <c r="B47" s="5"/>
      <c r="J47" s="145"/>
      <c r="R47" s="6"/>
    </row>
    <row r="48" spans="2:18" ht="12.75">
      <c r="B48" s="5"/>
      <c r="D48" s="23" t="s">
        <v>27</v>
      </c>
      <c r="E48" s="24"/>
      <c r="F48" s="24"/>
      <c r="G48" s="24"/>
      <c r="H48" s="25"/>
      <c r="J48" s="155" t="s">
        <v>28</v>
      </c>
      <c r="K48" s="24"/>
      <c r="L48" s="24"/>
      <c r="M48" s="24"/>
      <c r="N48" s="24"/>
      <c r="O48" s="24"/>
      <c r="P48" s="25"/>
      <c r="R48" s="6"/>
    </row>
    <row r="49" spans="2:18" ht="13.5">
      <c r="B49" s="5"/>
      <c r="D49" s="26"/>
      <c r="H49" s="27"/>
      <c r="J49" s="156"/>
      <c r="P49" s="27"/>
      <c r="R49" s="6"/>
    </row>
    <row r="50" spans="2:18" ht="13.5">
      <c r="B50" s="5"/>
      <c r="D50" s="26"/>
      <c r="H50" s="27"/>
      <c r="J50" s="156"/>
      <c r="P50" s="27"/>
      <c r="R50" s="6"/>
    </row>
    <row r="51" spans="2:18" ht="13.5">
      <c r="B51" s="5"/>
      <c r="D51" s="26"/>
      <c r="H51" s="27"/>
      <c r="J51" s="156"/>
      <c r="P51" s="27"/>
      <c r="R51" s="6"/>
    </row>
    <row r="52" spans="2:18" ht="13.5">
      <c r="B52" s="5"/>
      <c r="D52" s="26"/>
      <c r="H52" s="27"/>
      <c r="J52" s="156"/>
      <c r="P52" s="27"/>
      <c r="R52" s="6"/>
    </row>
    <row r="53" spans="2:18" ht="13.5">
      <c r="B53" s="5"/>
      <c r="D53" s="26"/>
      <c r="H53" s="27"/>
      <c r="J53" s="156"/>
      <c r="P53" s="27"/>
      <c r="R53" s="6"/>
    </row>
    <row r="54" spans="2:18" ht="13.5">
      <c r="B54" s="5"/>
      <c r="D54" s="26"/>
      <c r="H54" s="27"/>
      <c r="J54" s="156"/>
      <c r="P54" s="27"/>
      <c r="R54" s="6"/>
    </row>
    <row r="55" spans="2:18" ht="13.5">
      <c r="B55" s="5"/>
      <c r="D55" s="26"/>
      <c r="H55" s="27"/>
      <c r="J55" s="156"/>
      <c r="P55" s="27"/>
      <c r="R55" s="6"/>
    </row>
    <row r="56" spans="2:18" ht="13.5">
      <c r="B56" s="5"/>
      <c r="D56" s="26"/>
      <c r="H56" s="27"/>
      <c r="J56" s="156"/>
      <c r="P56" s="27"/>
      <c r="R56" s="6"/>
    </row>
    <row r="57" spans="2:18" ht="12.75">
      <c r="B57" s="5"/>
      <c r="D57" s="28" t="s">
        <v>29</v>
      </c>
      <c r="E57" s="29"/>
      <c r="F57" s="29"/>
      <c r="G57" s="30" t="s">
        <v>30</v>
      </c>
      <c r="H57" s="31"/>
      <c r="J57" s="157" t="s">
        <v>29</v>
      </c>
      <c r="K57" s="29"/>
      <c r="L57" s="29"/>
      <c r="M57" s="29"/>
      <c r="N57" s="30" t="s">
        <v>30</v>
      </c>
      <c r="O57" s="29"/>
      <c r="P57" s="31"/>
      <c r="R57" s="6"/>
    </row>
    <row r="58" spans="2:18" ht="13.5">
      <c r="B58" s="5"/>
      <c r="J58" s="145"/>
      <c r="R58" s="6"/>
    </row>
    <row r="59" spans="2:18" ht="12.75">
      <c r="B59" s="5"/>
      <c r="D59" s="23" t="s">
        <v>31</v>
      </c>
      <c r="E59" s="24"/>
      <c r="F59" s="24"/>
      <c r="G59" s="24"/>
      <c r="H59" s="25"/>
      <c r="J59" s="155" t="s">
        <v>32</v>
      </c>
      <c r="K59" s="24"/>
      <c r="L59" s="24"/>
      <c r="M59" s="24"/>
      <c r="N59" s="24"/>
      <c r="O59" s="24"/>
      <c r="P59" s="25"/>
      <c r="R59" s="6"/>
    </row>
    <row r="60" spans="2:18" ht="13.5">
      <c r="B60" s="5"/>
      <c r="D60" s="26"/>
      <c r="H60" s="27"/>
      <c r="J60" s="156"/>
      <c r="P60" s="27"/>
      <c r="R60" s="6"/>
    </row>
    <row r="61" spans="2:18" ht="13.5">
      <c r="B61" s="5"/>
      <c r="D61" s="26"/>
      <c r="H61" s="27"/>
      <c r="J61" s="156"/>
      <c r="P61" s="27"/>
      <c r="R61" s="6"/>
    </row>
    <row r="62" spans="2:18" ht="13.5">
      <c r="B62" s="5"/>
      <c r="D62" s="26"/>
      <c r="H62" s="27"/>
      <c r="J62" s="156"/>
      <c r="P62" s="27"/>
      <c r="R62" s="6"/>
    </row>
    <row r="63" spans="2:18" ht="13.5">
      <c r="B63" s="5"/>
      <c r="D63" s="26"/>
      <c r="H63" s="27"/>
      <c r="J63" s="156"/>
      <c r="P63" s="27"/>
      <c r="R63" s="6"/>
    </row>
    <row r="64" spans="2:18" ht="13.5">
      <c r="B64" s="5"/>
      <c r="D64" s="26"/>
      <c r="H64" s="27"/>
      <c r="J64" s="156"/>
      <c r="P64" s="27"/>
      <c r="R64" s="6"/>
    </row>
    <row r="65" spans="2:18" ht="13.5">
      <c r="B65" s="5"/>
      <c r="D65" s="26"/>
      <c r="H65" s="27"/>
      <c r="J65" s="156"/>
      <c r="P65" s="27"/>
      <c r="R65" s="6"/>
    </row>
    <row r="66" spans="2:18" ht="13.5">
      <c r="B66" s="5"/>
      <c r="D66" s="26"/>
      <c r="H66" s="27"/>
      <c r="J66" s="156"/>
      <c r="P66" s="27"/>
      <c r="R66" s="6"/>
    </row>
    <row r="67" spans="2:18" ht="13.5">
      <c r="B67" s="5"/>
      <c r="D67" s="26"/>
      <c r="H67" s="27"/>
      <c r="J67" s="156"/>
      <c r="P67" s="27"/>
      <c r="R67" s="6"/>
    </row>
    <row r="68" spans="2:18" ht="12.75">
      <c r="B68" s="5"/>
      <c r="D68" s="28" t="s">
        <v>29</v>
      </c>
      <c r="E68" s="29"/>
      <c r="F68" s="29"/>
      <c r="G68" s="30" t="s">
        <v>30</v>
      </c>
      <c r="H68" s="31"/>
      <c r="J68" s="157" t="s">
        <v>29</v>
      </c>
      <c r="K68" s="29"/>
      <c r="L68" s="29"/>
      <c r="M68" s="29"/>
      <c r="N68" s="30" t="s">
        <v>30</v>
      </c>
      <c r="O68" s="29"/>
      <c r="P68" s="31"/>
      <c r="R68" s="6"/>
    </row>
    <row r="69" spans="2:18" ht="13.5">
      <c r="B69" s="32"/>
      <c r="C69" s="33"/>
      <c r="D69" s="33"/>
      <c r="E69" s="33"/>
      <c r="F69" s="33"/>
      <c r="G69" s="33"/>
      <c r="H69" s="33"/>
      <c r="I69" s="33"/>
      <c r="J69" s="158"/>
      <c r="K69" s="33"/>
      <c r="L69" s="33"/>
      <c r="M69" s="33"/>
      <c r="N69" s="33"/>
      <c r="O69" s="33"/>
      <c r="P69" s="33"/>
      <c r="Q69" s="33"/>
      <c r="R69" s="34"/>
    </row>
    <row r="73" spans="2:18" ht="13.5">
      <c r="B73" s="1"/>
      <c r="C73" s="2"/>
      <c r="D73" s="2"/>
      <c r="E73" s="2"/>
      <c r="F73" s="2"/>
      <c r="G73" s="2"/>
      <c r="H73" s="2"/>
      <c r="I73" s="2"/>
      <c r="J73" s="144"/>
      <c r="K73" s="2"/>
      <c r="L73" s="2"/>
      <c r="M73" s="2"/>
      <c r="N73" s="2"/>
      <c r="O73" s="2"/>
      <c r="P73" s="2"/>
      <c r="Q73" s="2"/>
      <c r="R73" s="3"/>
    </row>
    <row r="74" spans="2:18" ht="20.25">
      <c r="B74" s="5"/>
      <c r="C74" s="596" t="s">
        <v>41</v>
      </c>
      <c r="D74" s="597"/>
      <c r="E74" s="597"/>
      <c r="F74" s="597"/>
      <c r="G74" s="597"/>
      <c r="H74" s="597"/>
      <c r="I74" s="597"/>
      <c r="J74" s="597"/>
      <c r="K74" s="597"/>
      <c r="L74" s="597"/>
      <c r="M74" s="597"/>
      <c r="N74" s="597"/>
      <c r="O74" s="597"/>
      <c r="P74" s="597"/>
      <c r="Q74" s="597"/>
      <c r="R74" s="6"/>
    </row>
    <row r="75" spans="2:18" ht="13.5">
      <c r="B75" s="5"/>
      <c r="J75" s="145"/>
      <c r="R75" s="6"/>
    </row>
    <row r="76" spans="2:18" ht="12">
      <c r="B76" s="5"/>
      <c r="C76" s="7" t="s">
        <v>3</v>
      </c>
      <c r="F76" s="620" t="str">
        <f>F4</f>
        <v>Stavební úpravy, vestavba a přístavba stávajícího objektu</v>
      </c>
      <c r="G76" s="621"/>
      <c r="H76" s="621"/>
      <c r="I76" s="621"/>
      <c r="J76" s="621"/>
      <c r="K76" s="621"/>
      <c r="L76" s="621"/>
      <c r="M76" s="621"/>
      <c r="N76" s="621"/>
      <c r="O76" s="621"/>
      <c r="P76" s="621"/>
      <c r="R76" s="6"/>
    </row>
    <row r="77" spans="2:18" ht="15.75">
      <c r="B77" s="5"/>
      <c r="C77" s="8" t="s">
        <v>39</v>
      </c>
      <c r="F77" s="590" t="str">
        <f>F5</f>
        <v>Venkovní objekty, plochy a oplocení</v>
      </c>
      <c r="G77" s="603"/>
      <c r="H77" s="603"/>
      <c r="I77" s="603"/>
      <c r="J77" s="603"/>
      <c r="K77" s="603"/>
      <c r="L77" s="603"/>
      <c r="M77" s="603"/>
      <c r="N77" s="603"/>
      <c r="O77" s="603"/>
      <c r="P77" s="603"/>
      <c r="R77" s="6"/>
    </row>
    <row r="78" spans="2:18" ht="13.5">
      <c r="B78" s="5"/>
      <c r="J78" s="145"/>
      <c r="R78" s="6"/>
    </row>
    <row r="79" spans="2:18" ht="12">
      <c r="B79" s="5"/>
      <c r="C79" s="7" t="s">
        <v>6</v>
      </c>
      <c r="F79" s="9" t="str">
        <f>F7</f>
        <v>Mírové náměstí 23/12, Bílina - p.č. 124, 125/1, 125/2, 125/3, k.ú. Bílina (604208)</v>
      </c>
      <c r="J79" s="145"/>
      <c r="K79" s="7" t="s">
        <v>7</v>
      </c>
      <c r="M79" s="616">
        <f>IF(O7="","",O7)</f>
        <v>0</v>
      </c>
      <c r="N79" s="616"/>
      <c r="O79" s="616"/>
      <c r="P79" s="616"/>
      <c r="R79" s="6"/>
    </row>
    <row r="80" spans="2:18" ht="13.5">
      <c r="B80" s="5"/>
      <c r="J80" s="145"/>
      <c r="R80" s="6"/>
    </row>
    <row r="81" spans="2:18" ht="12">
      <c r="B81" s="5"/>
      <c r="C81" s="7" t="s">
        <v>8</v>
      </c>
      <c r="F81" s="9" t="str">
        <f>F9</f>
        <v>město Bílina</v>
      </c>
      <c r="J81" s="145"/>
      <c r="K81" s="7" t="s">
        <v>13</v>
      </c>
      <c r="M81" s="591" t="str">
        <f>E16</f>
        <v>Ing. arch. Bořek Peška</v>
      </c>
      <c r="N81" s="591"/>
      <c r="O81" s="591"/>
      <c r="P81" s="591"/>
      <c r="Q81" s="591"/>
      <c r="R81" s="6"/>
    </row>
    <row r="82" spans="2:18" ht="12">
      <c r="B82" s="5"/>
      <c r="C82" s="7" t="s">
        <v>11</v>
      </c>
      <c r="F82" s="9">
        <f>F12</f>
        <v>0</v>
      </c>
      <c r="J82" s="145"/>
      <c r="K82" s="7" t="s">
        <v>14</v>
      </c>
      <c r="M82" s="591" t="str">
        <f>E19</f>
        <v>Jakub Kulhavý</v>
      </c>
      <c r="N82" s="591"/>
      <c r="O82" s="591"/>
      <c r="P82" s="591"/>
      <c r="Q82" s="591"/>
      <c r="R82" s="6"/>
    </row>
    <row r="83" spans="2:18" ht="13.5">
      <c r="B83" s="5"/>
      <c r="J83" s="145"/>
      <c r="R83" s="6"/>
    </row>
    <row r="84" spans="2:18" ht="12">
      <c r="B84" s="5"/>
      <c r="C84" s="641" t="s">
        <v>42</v>
      </c>
      <c r="D84" s="642"/>
      <c r="E84" s="642"/>
      <c r="F84" s="642"/>
      <c r="G84" s="642"/>
      <c r="H84" s="50"/>
      <c r="I84" s="50"/>
      <c r="J84" s="159"/>
      <c r="K84" s="50"/>
      <c r="L84" s="50"/>
      <c r="M84" s="50"/>
      <c r="N84" s="641" t="s">
        <v>43</v>
      </c>
      <c r="O84" s="642"/>
      <c r="P84" s="642"/>
      <c r="Q84" s="642"/>
      <c r="R84" s="6"/>
    </row>
    <row r="85" spans="2:18" ht="13.5">
      <c r="B85" s="5"/>
      <c r="J85" s="145"/>
      <c r="R85" s="6"/>
    </row>
    <row r="86" spans="2:20" ht="15.75">
      <c r="B86" s="5"/>
      <c r="C86" s="160" t="s">
        <v>44</v>
      </c>
      <c r="J86" s="145"/>
      <c r="N86" s="602">
        <f>N87</f>
        <v>0</v>
      </c>
      <c r="O86" s="643"/>
      <c r="P86" s="643"/>
      <c r="Q86" s="643"/>
      <c r="R86" s="6"/>
      <c r="T86" s="161">
        <f>SUM(N86:Q91)/3</f>
        <v>0</v>
      </c>
    </row>
    <row r="87" spans="2:20" s="163" customFormat="1" ht="15">
      <c r="B87" s="162"/>
      <c r="D87" s="164" t="str">
        <f>D113</f>
        <v>Zpevněné a nezpevněné plochy</v>
      </c>
      <c r="J87" s="165"/>
      <c r="N87" s="629">
        <f>SUM(N88:Q91)</f>
        <v>0</v>
      </c>
      <c r="O87" s="630"/>
      <c r="P87" s="630"/>
      <c r="Q87" s="630"/>
      <c r="R87" s="166"/>
      <c r="T87" s="161">
        <f>SUM(N87:Q91)/2</f>
        <v>0</v>
      </c>
    </row>
    <row r="88" spans="2:20" s="131" customFormat="1" ht="12.75">
      <c r="B88" s="130"/>
      <c r="D88" s="167" t="str">
        <f>D114</f>
        <v xml:space="preserve">    1 - Stavební práce a dodávky</v>
      </c>
      <c r="J88" s="168"/>
      <c r="N88" s="631">
        <f>N114</f>
        <v>0</v>
      </c>
      <c r="O88" s="632"/>
      <c r="P88" s="632"/>
      <c r="Q88" s="632"/>
      <c r="R88" s="132"/>
      <c r="T88" s="133"/>
    </row>
    <row r="89" spans="2:20" s="131" customFormat="1" ht="12.75">
      <c r="B89" s="130"/>
      <c r="D89" s="167" t="str">
        <f>D172</f>
        <v xml:space="preserve">    5 - Komunikace a venkovní plochy</v>
      </c>
      <c r="J89" s="168"/>
      <c r="N89" s="631">
        <f>N172</f>
        <v>0</v>
      </c>
      <c r="O89" s="632"/>
      <c r="P89" s="632"/>
      <c r="Q89" s="632"/>
      <c r="R89" s="132"/>
      <c r="T89" s="133"/>
    </row>
    <row r="90" spans="2:20" s="131" customFormat="1" ht="12.75">
      <c r="B90" s="130"/>
      <c r="D90" s="167" t="str">
        <f>D217</f>
        <v xml:space="preserve">    9 - Ostatní konstrukce a práce - drobné objekty a oplocení</v>
      </c>
      <c r="J90" s="168"/>
      <c r="N90" s="631">
        <f>N217</f>
        <v>0</v>
      </c>
      <c r="O90" s="632"/>
      <c r="P90" s="632"/>
      <c r="Q90" s="632"/>
      <c r="R90" s="132"/>
      <c r="T90" s="133"/>
    </row>
    <row r="91" spans="2:20" s="131" customFormat="1" ht="12.75">
      <c r="B91" s="130"/>
      <c r="D91" s="167" t="str">
        <f>D226</f>
        <v xml:space="preserve">    998 - Přesuny hmot pro HSV</v>
      </c>
      <c r="J91" s="168"/>
      <c r="N91" s="631">
        <f>N226</f>
        <v>0</v>
      </c>
      <c r="O91" s="632"/>
      <c r="P91" s="632"/>
      <c r="Q91" s="632"/>
      <c r="R91" s="132"/>
      <c r="T91" s="133"/>
    </row>
    <row r="92" spans="2:18" ht="13.5">
      <c r="B92" s="5"/>
      <c r="J92" s="145"/>
      <c r="R92" s="6"/>
    </row>
    <row r="93" spans="2:18" ht="15.75">
      <c r="B93" s="5"/>
      <c r="C93" s="49" t="s">
        <v>97</v>
      </c>
      <c r="D93" s="50"/>
      <c r="E93" s="50"/>
      <c r="F93" s="50"/>
      <c r="G93" s="50"/>
      <c r="H93" s="50"/>
      <c r="I93" s="50"/>
      <c r="J93" s="159"/>
      <c r="K93" s="50"/>
      <c r="L93" s="615">
        <f>ROUND(N86,2)</f>
        <v>0</v>
      </c>
      <c r="M93" s="615"/>
      <c r="N93" s="615"/>
      <c r="O93" s="615"/>
      <c r="P93" s="615"/>
      <c r="Q93" s="615"/>
      <c r="R93" s="6"/>
    </row>
    <row r="94" spans="2:18" ht="13.5">
      <c r="B94" s="32"/>
      <c r="C94" s="33"/>
      <c r="D94" s="33"/>
      <c r="E94" s="33"/>
      <c r="F94" s="33"/>
      <c r="G94" s="33"/>
      <c r="H94" s="33"/>
      <c r="I94" s="33"/>
      <c r="J94" s="158"/>
      <c r="K94" s="33"/>
      <c r="L94" s="33"/>
      <c r="M94" s="33"/>
      <c r="N94" s="33"/>
      <c r="O94" s="33"/>
      <c r="P94" s="33"/>
      <c r="Q94" s="33"/>
      <c r="R94" s="34"/>
    </row>
    <row r="98" spans="2:18" ht="13.5">
      <c r="B98" s="1"/>
      <c r="C98" s="2"/>
      <c r="D98" s="2"/>
      <c r="E98" s="2"/>
      <c r="F98" s="2"/>
      <c r="G98" s="2"/>
      <c r="H98" s="2"/>
      <c r="I98" s="2"/>
      <c r="J98" s="144"/>
      <c r="K98" s="2"/>
      <c r="L98" s="2"/>
      <c r="M98" s="2"/>
      <c r="N98" s="2"/>
      <c r="O98" s="2"/>
      <c r="P98" s="2"/>
      <c r="Q98" s="2"/>
      <c r="R98" s="3"/>
    </row>
    <row r="99" spans="2:18" ht="20.25">
      <c r="B99" s="5"/>
      <c r="C99" s="596" t="s">
        <v>57</v>
      </c>
      <c r="D99" s="603"/>
      <c r="E99" s="603"/>
      <c r="F99" s="603"/>
      <c r="G99" s="603"/>
      <c r="H99" s="603"/>
      <c r="I99" s="603"/>
      <c r="J99" s="603"/>
      <c r="K99" s="603"/>
      <c r="L99" s="603"/>
      <c r="M99" s="603"/>
      <c r="N99" s="603"/>
      <c r="O99" s="603"/>
      <c r="P99" s="603"/>
      <c r="Q99" s="603"/>
      <c r="R99" s="6"/>
    </row>
    <row r="100" spans="2:18" ht="2.25" customHeight="1">
      <c r="B100" s="5"/>
      <c r="J100" s="145"/>
      <c r="R100" s="6"/>
    </row>
    <row r="101" spans="2:18" ht="12">
      <c r="B101" s="5"/>
      <c r="C101" s="7" t="s">
        <v>3</v>
      </c>
      <c r="F101" s="620" t="str">
        <f>F4</f>
        <v>Stavební úpravy, vestavba a přístavba stávajícího objektu</v>
      </c>
      <c r="G101" s="621"/>
      <c r="H101" s="621"/>
      <c r="I101" s="621"/>
      <c r="J101" s="621"/>
      <c r="K101" s="621"/>
      <c r="L101" s="621"/>
      <c r="M101" s="621"/>
      <c r="N101" s="621"/>
      <c r="O101" s="621"/>
      <c r="P101" s="621"/>
      <c r="R101" s="6"/>
    </row>
    <row r="102" spans="2:18" ht="15.75">
      <c r="B102" s="5"/>
      <c r="C102" s="8" t="s">
        <v>39</v>
      </c>
      <c r="F102" s="590" t="str">
        <f>F5</f>
        <v>Venkovní objekty, plochy a oplocení</v>
      </c>
      <c r="G102" s="603"/>
      <c r="H102" s="603"/>
      <c r="I102" s="603"/>
      <c r="J102" s="603"/>
      <c r="K102" s="603"/>
      <c r="L102" s="603"/>
      <c r="M102" s="603"/>
      <c r="N102" s="603"/>
      <c r="O102" s="603"/>
      <c r="P102" s="603"/>
      <c r="R102" s="6"/>
    </row>
    <row r="103" spans="2:18" ht="13.5">
      <c r="B103" s="5"/>
      <c r="J103" s="145"/>
      <c r="R103" s="6"/>
    </row>
    <row r="104" spans="2:18" ht="12">
      <c r="B104" s="5"/>
      <c r="C104" s="7" t="s">
        <v>6</v>
      </c>
      <c r="F104" s="9" t="str">
        <f>F7</f>
        <v>Mírové náměstí 23/12, Bílina - p.č. 124, 125/1, 125/2, 125/3, k.ú. Bílina (604208)</v>
      </c>
      <c r="J104" s="145"/>
      <c r="K104" s="7" t="s">
        <v>7</v>
      </c>
      <c r="M104" s="616">
        <f>IF(O7="","",O7)</f>
        <v>0</v>
      </c>
      <c r="N104" s="616"/>
      <c r="O104" s="616"/>
      <c r="P104" s="616"/>
      <c r="R104" s="6"/>
    </row>
    <row r="105" spans="2:18" ht="13.5">
      <c r="B105" s="5"/>
      <c r="J105" s="145"/>
      <c r="R105" s="6"/>
    </row>
    <row r="106" spans="2:18" ht="12">
      <c r="B106" s="5"/>
      <c r="C106" s="7" t="s">
        <v>8</v>
      </c>
      <c r="F106" s="9" t="str">
        <f>F81</f>
        <v>město Bílina</v>
      </c>
      <c r="J106" s="145"/>
      <c r="K106" s="7" t="s">
        <v>13</v>
      </c>
      <c r="M106" s="591" t="str">
        <f>E16</f>
        <v>Ing. arch. Bořek Peška</v>
      </c>
      <c r="N106" s="591"/>
      <c r="O106" s="591"/>
      <c r="P106" s="591"/>
      <c r="Q106" s="591"/>
      <c r="R106" s="6"/>
    </row>
    <row r="107" spans="2:18" ht="12">
      <c r="B107" s="5"/>
      <c r="C107" s="7" t="s">
        <v>11</v>
      </c>
      <c r="F107" s="9">
        <f>F82</f>
        <v>0</v>
      </c>
      <c r="J107" s="145"/>
      <c r="K107" s="7" t="s">
        <v>14</v>
      </c>
      <c r="M107" s="591" t="str">
        <f>E19</f>
        <v>Jakub Kulhavý</v>
      </c>
      <c r="N107" s="591"/>
      <c r="O107" s="591"/>
      <c r="P107" s="591"/>
      <c r="Q107" s="591"/>
      <c r="R107" s="6"/>
    </row>
    <row r="108" spans="2:18" ht="12">
      <c r="B108" s="5"/>
      <c r="C108" s="7"/>
      <c r="F108" s="620"/>
      <c r="G108" s="621"/>
      <c r="H108" s="621"/>
      <c r="I108" s="621"/>
      <c r="J108" s="621"/>
      <c r="K108" s="621"/>
      <c r="L108" s="621"/>
      <c r="M108" s="621"/>
      <c r="N108" s="621"/>
      <c r="O108" s="621"/>
      <c r="P108" s="621"/>
      <c r="R108" s="6"/>
    </row>
    <row r="109" spans="2:18" ht="28.5" customHeight="1">
      <c r="B109" s="5"/>
      <c r="C109" s="7" t="s">
        <v>109</v>
      </c>
      <c r="F109" s="589" t="s">
        <v>2058</v>
      </c>
      <c r="G109" s="589"/>
      <c r="H109" s="589"/>
      <c r="I109" s="589"/>
      <c r="J109" s="589"/>
      <c r="K109" s="589"/>
      <c r="L109" s="589"/>
      <c r="M109" s="589"/>
      <c r="N109" s="589"/>
      <c r="O109" s="589"/>
      <c r="P109" s="589"/>
      <c r="R109" s="6"/>
    </row>
    <row r="110" spans="2:18" ht="3.75" customHeight="1">
      <c r="B110" s="5"/>
      <c r="J110" s="145"/>
      <c r="R110" s="6"/>
    </row>
    <row r="111" spans="2:20" s="138" customFormat="1" ht="12">
      <c r="B111" s="134"/>
      <c r="C111" s="169" t="s">
        <v>58</v>
      </c>
      <c r="D111" s="135" t="s">
        <v>59</v>
      </c>
      <c r="E111" s="135" t="s">
        <v>34</v>
      </c>
      <c r="F111" s="622" t="s">
        <v>60</v>
      </c>
      <c r="G111" s="622"/>
      <c r="H111" s="622"/>
      <c r="I111" s="622"/>
      <c r="J111" s="170" t="s">
        <v>61</v>
      </c>
      <c r="K111" s="135" t="s">
        <v>62</v>
      </c>
      <c r="L111" s="623" t="s">
        <v>63</v>
      </c>
      <c r="M111" s="623"/>
      <c r="N111" s="622" t="s">
        <v>43</v>
      </c>
      <c r="O111" s="622"/>
      <c r="P111" s="622"/>
      <c r="Q111" s="624"/>
      <c r="R111" s="136"/>
      <c r="T111" s="137"/>
    </row>
    <row r="112" spans="2:20" ht="15.75">
      <c r="B112" s="5"/>
      <c r="C112" s="42" t="s">
        <v>40</v>
      </c>
      <c r="J112" s="145"/>
      <c r="N112" s="644">
        <f>N113</f>
        <v>0</v>
      </c>
      <c r="O112" s="645"/>
      <c r="P112" s="645"/>
      <c r="Q112" s="645"/>
      <c r="R112" s="6"/>
      <c r="T112" s="129">
        <f>SUM(N112:Q228)/4</f>
        <v>0</v>
      </c>
    </row>
    <row r="113" spans="2:20" s="143" customFormat="1" ht="15">
      <c r="B113" s="139"/>
      <c r="D113" s="164" t="s">
        <v>213</v>
      </c>
      <c r="E113" s="164"/>
      <c r="F113" s="164"/>
      <c r="G113" s="164"/>
      <c r="H113" s="164"/>
      <c r="I113" s="164"/>
      <c r="J113" s="171"/>
      <c r="K113" s="164"/>
      <c r="L113" s="164"/>
      <c r="M113" s="164"/>
      <c r="N113" s="629">
        <f>N114+N172+N217+N226</f>
        <v>0</v>
      </c>
      <c r="O113" s="629"/>
      <c r="P113" s="629"/>
      <c r="Q113" s="629"/>
      <c r="R113" s="141"/>
      <c r="T113" s="142">
        <f>SUM(N113:Q227)/3</f>
        <v>0</v>
      </c>
    </row>
    <row r="114" spans="2:25" s="143" customFormat="1" ht="12.75">
      <c r="B114" s="139"/>
      <c r="C114" s="140"/>
      <c r="D114" s="140" t="s">
        <v>1241</v>
      </c>
      <c r="E114" s="140"/>
      <c r="F114" s="140"/>
      <c r="G114" s="140"/>
      <c r="H114" s="140"/>
      <c r="I114" s="140"/>
      <c r="J114" s="172"/>
      <c r="K114" s="140"/>
      <c r="L114" s="140"/>
      <c r="M114" s="140"/>
      <c r="N114" s="633">
        <f>SUM(N115:Q171)</f>
        <v>0</v>
      </c>
      <c r="O114" s="633"/>
      <c r="P114" s="633"/>
      <c r="Q114" s="633"/>
      <c r="R114" s="141"/>
      <c r="T114" s="173">
        <f>SUM(N114:Q171)/2</f>
        <v>0</v>
      </c>
      <c r="U114" s="265"/>
      <c r="V114" s="265"/>
      <c r="W114" s="265"/>
      <c r="X114" s="265"/>
      <c r="Y114" s="265"/>
    </row>
    <row r="115" spans="2:21" ht="27" customHeight="1" outlineLevel="1">
      <c r="B115" s="5"/>
      <c r="C115" s="261"/>
      <c r="D115" s="261" t="s">
        <v>64</v>
      </c>
      <c r="E115" s="262">
        <v>132212131</v>
      </c>
      <c r="F115" s="625" t="s">
        <v>868</v>
      </c>
      <c r="G115" s="625"/>
      <c r="H115" s="625"/>
      <c r="I115" s="625"/>
      <c r="J115" s="174" t="s">
        <v>66</v>
      </c>
      <c r="K115" s="264">
        <f>SUM(K116:K117)</f>
        <v>7.3762</v>
      </c>
      <c r="L115" s="626"/>
      <c r="M115" s="626"/>
      <c r="N115" s="619">
        <f>ROUND(L115*K115,2)</f>
        <v>0</v>
      </c>
      <c r="O115" s="619"/>
      <c r="P115" s="619"/>
      <c r="Q115" s="619"/>
      <c r="R115" s="6"/>
      <c r="T115" s="142"/>
      <c r="U115" s="177"/>
    </row>
    <row r="116" spans="2:20" s="177" customFormat="1" ht="22.5" outlineLevel="1">
      <c r="B116" s="175"/>
      <c r="E116" s="319" t="s">
        <v>1208</v>
      </c>
      <c r="F116" s="627" t="s">
        <v>1211</v>
      </c>
      <c r="G116" s="628">
        <f>(0.73+0.4*0.6)*(1.45*2+3.2)</f>
        <v>5.917</v>
      </c>
      <c r="H116" s="628">
        <f>(0.73+0.4*0.6)*(1.45*2+3.2)</f>
        <v>5.917</v>
      </c>
      <c r="I116" s="628">
        <f>(0.73+0.4*0.6)*(1.45*2+3.2)</f>
        <v>5.917</v>
      </c>
      <c r="J116" s="176"/>
      <c r="K116" s="266">
        <f>(0.73+0.4*0.6)*(1.45*2+3.2)</f>
        <v>5.917</v>
      </c>
      <c r="L116" s="419"/>
      <c r="M116" s="419"/>
      <c r="R116" s="178"/>
      <c r="T116" s="142"/>
    </row>
    <row r="117" spans="2:20" s="177" customFormat="1" ht="22.5" outlineLevel="1">
      <c r="B117" s="175"/>
      <c r="E117" s="319" t="s">
        <v>1210</v>
      </c>
      <c r="F117" s="627" t="s">
        <v>1214</v>
      </c>
      <c r="G117" s="628">
        <f>(1.36+1.68)*0.6*0.8</f>
        <v>1.4592</v>
      </c>
      <c r="H117" s="628">
        <f>(1.36+1.68)*0.6*0.8</f>
        <v>1.4592</v>
      </c>
      <c r="I117" s="628">
        <f>(1.36+1.68)*0.6*0.8</f>
        <v>1.4592</v>
      </c>
      <c r="J117" s="176"/>
      <c r="K117" s="266">
        <f>(1.36+1.68)*0.6*0.8</f>
        <v>1.4592</v>
      </c>
      <c r="L117" s="419"/>
      <c r="M117" s="419"/>
      <c r="R117" s="178"/>
      <c r="T117" s="142"/>
    </row>
    <row r="118" spans="2:21" ht="27" customHeight="1" outlineLevel="1">
      <c r="B118" s="5"/>
      <c r="C118" s="261"/>
      <c r="D118" s="261" t="s">
        <v>64</v>
      </c>
      <c r="E118" s="262">
        <v>162751117</v>
      </c>
      <c r="F118" s="625" t="s">
        <v>196</v>
      </c>
      <c r="G118" s="625"/>
      <c r="H118" s="625"/>
      <c r="I118" s="625"/>
      <c r="J118" s="174" t="s">
        <v>66</v>
      </c>
      <c r="K118" s="264">
        <f>SUM(K119:K119)</f>
        <v>5.465199999999999</v>
      </c>
      <c r="L118" s="626"/>
      <c r="M118" s="626"/>
      <c r="N118" s="619">
        <f>ROUND(L118*K118,2)</f>
        <v>0</v>
      </c>
      <c r="O118" s="619"/>
      <c r="P118" s="619"/>
      <c r="Q118" s="619"/>
      <c r="R118" s="6"/>
      <c r="T118" s="142"/>
      <c r="U118" s="177"/>
    </row>
    <row r="119" spans="2:20" s="177" customFormat="1" ht="22.5" outlineLevel="1">
      <c r="B119" s="175"/>
      <c r="E119" s="319" t="s">
        <v>211</v>
      </c>
      <c r="F119" s="627" t="s">
        <v>194</v>
      </c>
      <c r="G119" s="628"/>
      <c r="H119" s="628"/>
      <c r="I119" s="628"/>
      <c r="J119" s="176"/>
      <c r="K119" s="266">
        <f>K127</f>
        <v>5.465199999999999</v>
      </c>
      <c r="L119" s="419"/>
      <c r="M119" s="419"/>
      <c r="R119" s="178"/>
      <c r="T119" s="142"/>
    </row>
    <row r="120" spans="2:21" ht="27" customHeight="1" outlineLevel="1">
      <c r="B120" s="5"/>
      <c r="C120" s="261"/>
      <c r="D120" s="261" t="s">
        <v>64</v>
      </c>
      <c r="E120" s="262">
        <v>162751119</v>
      </c>
      <c r="F120" s="625" t="s">
        <v>202</v>
      </c>
      <c r="G120" s="625"/>
      <c r="H120" s="625"/>
      <c r="I120" s="625"/>
      <c r="J120" s="174" t="s">
        <v>66</v>
      </c>
      <c r="K120" s="264">
        <f>SUM(K121:K121)</f>
        <v>163.956</v>
      </c>
      <c r="L120" s="626"/>
      <c r="M120" s="626"/>
      <c r="N120" s="619">
        <f>ROUND(L120*K120,2)</f>
        <v>0</v>
      </c>
      <c r="O120" s="619"/>
      <c r="P120" s="619"/>
      <c r="Q120" s="619"/>
      <c r="R120" s="6"/>
      <c r="T120" s="142"/>
      <c r="U120" s="177"/>
    </row>
    <row r="121" spans="2:20" s="177" customFormat="1" ht="22.5" outlineLevel="1">
      <c r="B121" s="175"/>
      <c r="E121" s="319" t="s">
        <v>197</v>
      </c>
      <c r="F121" s="627" t="s">
        <v>875</v>
      </c>
      <c r="G121" s="628"/>
      <c r="H121" s="628"/>
      <c r="I121" s="628"/>
      <c r="J121" s="176">
        <v>30</v>
      </c>
      <c r="K121" s="266">
        <f>K118*J121</f>
        <v>163.956</v>
      </c>
      <c r="L121" s="419"/>
      <c r="M121" s="419"/>
      <c r="R121" s="178"/>
      <c r="T121" s="142"/>
    </row>
    <row r="122" spans="2:21" ht="13.5" outlineLevel="1">
      <c r="B122" s="5"/>
      <c r="C122" s="261"/>
      <c r="D122" s="261" t="s">
        <v>64</v>
      </c>
      <c r="E122" s="262">
        <v>167151111</v>
      </c>
      <c r="F122" s="625" t="s">
        <v>201</v>
      </c>
      <c r="G122" s="625"/>
      <c r="H122" s="625"/>
      <c r="I122" s="625"/>
      <c r="J122" s="174" t="s">
        <v>66</v>
      </c>
      <c r="K122" s="264">
        <f>SUM(K123:K123)</f>
        <v>5.465199999999999</v>
      </c>
      <c r="L122" s="626"/>
      <c r="M122" s="626"/>
      <c r="N122" s="619">
        <f>ROUND(L122*K122,2)</f>
        <v>0</v>
      </c>
      <c r="O122" s="619"/>
      <c r="P122" s="619"/>
      <c r="Q122" s="619"/>
      <c r="R122" s="6"/>
      <c r="T122" s="142"/>
      <c r="U122" s="177"/>
    </row>
    <row r="123" spans="2:20" s="177" customFormat="1" ht="22.5" outlineLevel="1">
      <c r="B123" s="175"/>
      <c r="E123" s="319" t="s">
        <v>195</v>
      </c>
      <c r="F123" s="627" t="s">
        <v>244</v>
      </c>
      <c r="G123" s="628"/>
      <c r="H123" s="628"/>
      <c r="I123" s="628"/>
      <c r="J123" s="176"/>
      <c r="K123" s="266">
        <f>K118</f>
        <v>5.465199999999999</v>
      </c>
      <c r="L123" s="419"/>
      <c r="M123" s="419"/>
      <c r="R123" s="178"/>
      <c r="T123" s="142"/>
    </row>
    <row r="124" spans="2:21" ht="13.5" outlineLevel="1">
      <c r="B124" s="5"/>
      <c r="C124" s="261"/>
      <c r="D124" s="261" t="s">
        <v>64</v>
      </c>
      <c r="E124" s="262">
        <v>171251201</v>
      </c>
      <c r="F124" s="625" t="s">
        <v>112</v>
      </c>
      <c r="G124" s="625"/>
      <c r="H124" s="625"/>
      <c r="I124" s="625"/>
      <c r="J124" s="174" t="s">
        <v>66</v>
      </c>
      <c r="K124" s="264">
        <f>K122</f>
        <v>5.465199999999999</v>
      </c>
      <c r="L124" s="626"/>
      <c r="M124" s="626"/>
      <c r="N124" s="619">
        <f>ROUND(L124*K124,2)</f>
        <v>0</v>
      </c>
      <c r="O124" s="619"/>
      <c r="P124" s="619"/>
      <c r="Q124" s="619"/>
      <c r="R124" s="6"/>
      <c r="T124" s="142"/>
      <c r="U124" s="177"/>
    </row>
    <row r="125" spans="2:21" ht="27" customHeight="1" outlineLevel="1">
      <c r="B125" s="5"/>
      <c r="C125" s="261"/>
      <c r="D125" s="261" t="s">
        <v>64</v>
      </c>
      <c r="E125" s="262">
        <v>171201231</v>
      </c>
      <c r="F125" s="625" t="s">
        <v>200</v>
      </c>
      <c r="G125" s="625"/>
      <c r="H125" s="625"/>
      <c r="I125" s="625"/>
      <c r="J125" s="174" t="s">
        <v>68</v>
      </c>
      <c r="K125" s="264">
        <f>SUM(K126:K126)</f>
        <v>8.74432</v>
      </c>
      <c r="L125" s="626"/>
      <c r="M125" s="626"/>
      <c r="N125" s="619">
        <f>ROUND(L125*K125,2)</f>
        <v>0</v>
      </c>
      <c r="O125" s="619"/>
      <c r="P125" s="619"/>
      <c r="Q125" s="619"/>
      <c r="R125" s="6"/>
      <c r="T125" s="142"/>
      <c r="U125" s="177"/>
    </row>
    <row r="126" spans="2:20" s="177" customFormat="1" ht="22.5" outlineLevel="1">
      <c r="B126" s="175"/>
      <c r="E126" s="319" t="s">
        <v>198</v>
      </c>
      <c r="F126" s="627" t="s">
        <v>199</v>
      </c>
      <c r="G126" s="628"/>
      <c r="H126" s="628"/>
      <c r="I126" s="628"/>
      <c r="J126" s="176">
        <v>1.6</v>
      </c>
      <c r="K126" s="266">
        <f>K118*J126</f>
        <v>8.74432</v>
      </c>
      <c r="L126" s="419"/>
      <c r="M126" s="419"/>
      <c r="R126" s="178"/>
      <c r="T126" s="142"/>
    </row>
    <row r="127" spans="2:21" ht="13.5" outlineLevel="1">
      <c r="B127" s="5"/>
      <c r="C127" s="261"/>
      <c r="D127" s="261" t="s">
        <v>64</v>
      </c>
      <c r="E127" s="262" t="s">
        <v>111</v>
      </c>
      <c r="F127" s="625" t="s">
        <v>99</v>
      </c>
      <c r="G127" s="625"/>
      <c r="H127" s="625"/>
      <c r="I127" s="625"/>
      <c r="J127" s="174" t="s">
        <v>66</v>
      </c>
      <c r="K127" s="264">
        <f>SUM(K128:K129)</f>
        <v>5.465199999999999</v>
      </c>
      <c r="L127" s="626"/>
      <c r="M127" s="626"/>
      <c r="N127" s="619">
        <f>ROUND(L127*K127,2)</f>
        <v>0</v>
      </c>
      <c r="O127" s="619"/>
      <c r="P127" s="619"/>
      <c r="Q127" s="619"/>
      <c r="R127" s="6"/>
      <c r="T127" s="142"/>
      <c r="U127" s="177"/>
    </row>
    <row r="128" spans="2:20" s="177" customFormat="1" ht="13.5" outlineLevel="1">
      <c r="B128" s="175"/>
      <c r="E128" s="319" t="s">
        <v>871</v>
      </c>
      <c r="F128" s="627" t="s">
        <v>194</v>
      </c>
      <c r="G128" s="628" t="e">
        <f>#REF!-(12.2+24.1+4.285)*0.023</f>
        <v>#REF!</v>
      </c>
      <c r="H128" s="628" t="e">
        <f>#REF!-(12.2+24.1+4.285)*0.023</f>
        <v>#REF!</v>
      </c>
      <c r="I128" s="628" t="e">
        <f>#REF!-(12.2+24.1+4.285)*0.023</f>
        <v>#REF!</v>
      </c>
      <c r="J128" s="176"/>
      <c r="K128" s="266">
        <f>K115</f>
        <v>7.3762</v>
      </c>
      <c r="L128" s="419"/>
      <c r="M128" s="419"/>
      <c r="R128" s="178"/>
      <c r="T128" s="142"/>
    </row>
    <row r="129" spans="2:20" s="177" customFormat="1" ht="13.5" outlineLevel="1">
      <c r="B129" s="175"/>
      <c r="E129" s="319" t="s">
        <v>872</v>
      </c>
      <c r="F129" s="627" t="s">
        <v>874</v>
      </c>
      <c r="G129" s="628">
        <f>((2*1+13.755*(0.6))*(1.41+0.15)+(2.92)*(2.8)*(1.71+0.15))*-1</f>
        <v>-31.202039999999997</v>
      </c>
      <c r="H129" s="628">
        <f>((2*1+13.755*(0.6))*(1.41+0.15)+(2.92)*(2.8)*(1.71+0.15))*-1</f>
        <v>-31.202039999999997</v>
      </c>
      <c r="I129" s="628">
        <f>((2*1+13.755*(0.6))*(1.41+0.15)+(2.92)*(2.8)*(1.71+0.15))*-1</f>
        <v>-31.202039999999997</v>
      </c>
      <c r="J129" s="176"/>
      <c r="K129" s="266">
        <f>(1.05*2+2.8)*(0.2*0.75+0.4*0.6)*-1</f>
        <v>-1.9110000000000003</v>
      </c>
      <c r="L129" s="419"/>
      <c r="M129" s="419"/>
      <c r="R129" s="178"/>
      <c r="T129" s="142"/>
    </row>
    <row r="130" spans="2:21" ht="27" customHeight="1" outlineLevel="1">
      <c r="B130" s="5"/>
      <c r="C130" s="261"/>
      <c r="D130" s="261" t="s">
        <v>64</v>
      </c>
      <c r="E130" s="262">
        <v>271532212</v>
      </c>
      <c r="F130" s="625" t="s">
        <v>879</v>
      </c>
      <c r="G130" s="625"/>
      <c r="H130" s="625"/>
      <c r="I130" s="625"/>
      <c r="J130" s="174" t="s">
        <v>66</v>
      </c>
      <c r="K130" s="264">
        <f>SUM(K131:K132)</f>
        <v>1.0968</v>
      </c>
      <c r="L130" s="626"/>
      <c r="M130" s="626"/>
      <c r="N130" s="619">
        <f>ROUND(L130*K130,2)</f>
        <v>0</v>
      </c>
      <c r="O130" s="619"/>
      <c r="P130" s="619"/>
      <c r="Q130" s="619"/>
      <c r="R130" s="6"/>
      <c r="T130" s="142"/>
      <c r="U130" s="177"/>
    </row>
    <row r="131" spans="2:20" s="177" customFormat="1" ht="22.5" outlineLevel="1">
      <c r="B131" s="175"/>
      <c r="E131" s="319" t="s">
        <v>1208</v>
      </c>
      <c r="F131" s="627" t="s">
        <v>1212</v>
      </c>
      <c r="G131" s="628">
        <f>(0.6*0.2)*(1.45*2+3.2)</f>
        <v>0.732</v>
      </c>
      <c r="H131" s="628">
        <f>(0.6*0.2)*(1.45*2+3.2)</f>
        <v>0.732</v>
      </c>
      <c r="I131" s="628">
        <f>(0.6*0.2)*(1.45*2+3.2)</f>
        <v>0.732</v>
      </c>
      <c r="J131" s="176"/>
      <c r="K131" s="266">
        <f>(0.6*0.2)*(1.45*2+3.2)</f>
        <v>0.732</v>
      </c>
      <c r="L131" s="419"/>
      <c r="M131" s="419"/>
      <c r="R131" s="178"/>
      <c r="T131" s="142"/>
    </row>
    <row r="132" spans="2:20" s="177" customFormat="1" ht="22.5" outlineLevel="1">
      <c r="B132" s="175"/>
      <c r="E132" s="319" t="s">
        <v>1210</v>
      </c>
      <c r="F132" s="627" t="s">
        <v>1213</v>
      </c>
      <c r="G132" s="628">
        <f>(1.36+1.68)*0.6*0.2</f>
        <v>0.3648</v>
      </c>
      <c r="H132" s="628">
        <f>(1.36+1.68)*0.6*0.2</f>
        <v>0.3648</v>
      </c>
      <c r="I132" s="628">
        <f>(1.36+1.68)*0.6*0.2</f>
        <v>0.3648</v>
      </c>
      <c r="J132" s="176"/>
      <c r="K132" s="266">
        <f>(1.36+1.68)*0.6*0.2</f>
        <v>0.3648</v>
      </c>
      <c r="L132" s="419"/>
      <c r="M132" s="419"/>
      <c r="R132" s="178"/>
      <c r="T132" s="142"/>
    </row>
    <row r="133" spans="2:21" ht="13.5" outlineLevel="1">
      <c r="B133" s="5"/>
      <c r="C133" s="261"/>
      <c r="D133" s="261" t="s">
        <v>64</v>
      </c>
      <c r="E133" s="262">
        <v>274313811</v>
      </c>
      <c r="F133" s="625" t="s">
        <v>882</v>
      </c>
      <c r="G133" s="625"/>
      <c r="H133" s="625"/>
      <c r="I133" s="625"/>
      <c r="J133" s="174" t="s">
        <v>66</v>
      </c>
      <c r="K133" s="264">
        <f>SUM(K134:K135)</f>
        <v>1.8263999999999998</v>
      </c>
      <c r="L133" s="626"/>
      <c r="M133" s="626"/>
      <c r="N133" s="619">
        <f>ROUND(L133*K133,2)</f>
        <v>0</v>
      </c>
      <c r="O133" s="619"/>
      <c r="P133" s="619"/>
      <c r="Q133" s="619"/>
      <c r="R133" s="6"/>
      <c r="T133" s="142"/>
      <c r="U133" s="177"/>
    </row>
    <row r="134" spans="2:20" s="177" customFormat="1" ht="22.5" outlineLevel="1">
      <c r="B134" s="175"/>
      <c r="E134" s="319" t="s">
        <v>1208</v>
      </c>
      <c r="F134" s="627" t="s">
        <v>1212</v>
      </c>
      <c r="G134" s="628">
        <f>(0.6*0.2)*(1.45*2+3.2)</f>
        <v>0.732</v>
      </c>
      <c r="H134" s="628">
        <f>(0.6*0.2)*(1.45*2+3.2)</f>
        <v>0.732</v>
      </c>
      <c r="I134" s="628">
        <f>(0.6*0.2)*(1.45*2+3.2)</f>
        <v>0.732</v>
      </c>
      <c r="J134" s="176"/>
      <c r="K134" s="266">
        <f>(0.6*0.2)*(1.45*2+3.2)</f>
        <v>0.732</v>
      </c>
      <c r="L134" s="419"/>
      <c r="M134" s="419"/>
      <c r="R134" s="178"/>
      <c r="T134" s="142"/>
    </row>
    <row r="135" spans="2:20" s="177" customFormat="1" ht="22.5" outlineLevel="1">
      <c r="B135" s="175"/>
      <c r="E135" s="319" t="s">
        <v>1210</v>
      </c>
      <c r="F135" s="627" t="s">
        <v>1215</v>
      </c>
      <c r="G135" s="628">
        <f>(1.36+1.68)*0.6*0.2</f>
        <v>0.3648</v>
      </c>
      <c r="H135" s="628">
        <f>(1.36+1.68)*0.6*0.2</f>
        <v>0.3648</v>
      </c>
      <c r="I135" s="628">
        <f>(1.36+1.68)*0.6*0.2</f>
        <v>0.3648</v>
      </c>
      <c r="J135" s="176"/>
      <c r="K135" s="266">
        <f>(1.36+1.68)*0.6*0.6</f>
        <v>1.0943999999999998</v>
      </c>
      <c r="L135" s="419"/>
      <c r="M135" s="419"/>
      <c r="R135" s="178"/>
      <c r="T135" s="142"/>
    </row>
    <row r="136" spans="2:21" ht="27" customHeight="1" outlineLevel="1">
      <c r="B136" s="5"/>
      <c r="C136" s="261"/>
      <c r="D136" s="261" t="s">
        <v>64</v>
      </c>
      <c r="E136" s="262">
        <v>279113142</v>
      </c>
      <c r="F136" s="625" t="s">
        <v>1216</v>
      </c>
      <c r="G136" s="625"/>
      <c r="H136" s="625"/>
      <c r="I136" s="625"/>
      <c r="J136" s="174" t="s">
        <v>65</v>
      </c>
      <c r="K136" s="264">
        <f>SUM(K137:K137)</f>
        <v>11.025</v>
      </c>
      <c r="L136" s="626"/>
      <c r="M136" s="626"/>
      <c r="N136" s="619">
        <f>ROUND(L136*K136,2)</f>
        <v>0</v>
      </c>
      <c r="O136" s="619"/>
      <c r="P136" s="619"/>
      <c r="Q136" s="619"/>
      <c r="R136" s="6"/>
      <c r="T136" s="142"/>
      <c r="U136" s="177"/>
    </row>
    <row r="137" spans="2:20" s="177" customFormat="1" ht="13.5" outlineLevel="1">
      <c r="B137" s="175"/>
      <c r="E137" s="319" t="s">
        <v>1217</v>
      </c>
      <c r="F137" s="627" t="s">
        <v>1218</v>
      </c>
      <c r="G137" s="628">
        <f>(1.05*2+2.8)*2.25</f>
        <v>11.025</v>
      </c>
      <c r="H137" s="628">
        <f>(1.05*2+2.8)*2.25</f>
        <v>11.025</v>
      </c>
      <c r="I137" s="628">
        <f>(1.05*2+2.8)*2.25</f>
        <v>11.025</v>
      </c>
      <c r="J137" s="176"/>
      <c r="K137" s="266">
        <f>(1.05*2+2.8)*2.25</f>
        <v>11.025</v>
      </c>
      <c r="L137" s="419"/>
      <c r="M137" s="419"/>
      <c r="R137" s="178"/>
      <c r="T137" s="142"/>
    </row>
    <row r="138" spans="2:21" ht="13.5" outlineLevel="1">
      <c r="B138" s="5"/>
      <c r="C138" s="261"/>
      <c r="D138" s="261" t="s">
        <v>64</v>
      </c>
      <c r="E138" s="262">
        <v>279361821</v>
      </c>
      <c r="F138" s="625" t="s">
        <v>910</v>
      </c>
      <c r="G138" s="625"/>
      <c r="H138" s="625"/>
      <c r="I138" s="625"/>
      <c r="J138" s="174" t="s">
        <v>68</v>
      </c>
      <c r="K138" s="264">
        <f>SUM(K139:K139)</f>
        <v>0.55125</v>
      </c>
      <c r="L138" s="626"/>
      <c r="M138" s="626"/>
      <c r="N138" s="619">
        <f>ROUND(L138*K138,2)</f>
        <v>0</v>
      </c>
      <c r="O138" s="619"/>
      <c r="P138" s="619"/>
      <c r="Q138" s="619"/>
      <c r="R138" s="6"/>
      <c r="T138" s="142"/>
      <c r="U138" s="177"/>
    </row>
    <row r="139" spans="2:20" s="177" customFormat="1" ht="13.5" outlineLevel="1">
      <c r="B139" s="175"/>
      <c r="E139" s="319" t="s">
        <v>912</v>
      </c>
      <c r="F139" s="627" t="s">
        <v>194</v>
      </c>
      <c r="G139" s="628"/>
      <c r="H139" s="628"/>
      <c r="I139" s="628"/>
      <c r="J139" s="176">
        <v>0.05</v>
      </c>
      <c r="K139" s="266">
        <f>K136*J139</f>
        <v>0.55125</v>
      </c>
      <c r="L139" s="419"/>
      <c r="M139" s="419"/>
      <c r="R139" s="178"/>
      <c r="T139" s="142"/>
    </row>
    <row r="140" spans="2:21" ht="13.5" outlineLevel="1">
      <c r="B140" s="5"/>
      <c r="C140" s="261"/>
      <c r="D140" s="261" t="s">
        <v>64</v>
      </c>
      <c r="E140" s="262">
        <v>411321515</v>
      </c>
      <c r="F140" s="625" t="s">
        <v>963</v>
      </c>
      <c r="G140" s="625"/>
      <c r="H140" s="625"/>
      <c r="I140" s="625"/>
      <c r="J140" s="174" t="s">
        <v>66</v>
      </c>
      <c r="K140" s="264">
        <f>SUM(K141:K141)</f>
        <v>0.441</v>
      </c>
      <c r="L140" s="626"/>
      <c r="M140" s="626"/>
      <c r="N140" s="619">
        <f>ROUND(L140*K140,2)</f>
        <v>0</v>
      </c>
      <c r="O140" s="619"/>
      <c r="P140" s="619"/>
      <c r="Q140" s="619"/>
      <c r="R140" s="6"/>
      <c r="T140" s="142"/>
      <c r="U140" s="177"/>
    </row>
    <row r="141" spans="2:20" s="177" customFormat="1" ht="13.5" outlineLevel="1">
      <c r="B141" s="175"/>
      <c r="E141" s="319" t="s">
        <v>1219</v>
      </c>
      <c r="F141" s="627" t="s">
        <v>1220</v>
      </c>
      <c r="G141" s="628" t="e">
        <f aca="true" t="shared" si="0" ref="G141:I143">1.05*2.8*F141</f>
        <v>#VALUE!</v>
      </c>
      <c r="H141" s="628" t="e">
        <f t="shared" si="0"/>
        <v>#VALUE!</v>
      </c>
      <c r="I141" s="628" t="e">
        <f t="shared" si="0"/>
        <v>#VALUE!</v>
      </c>
      <c r="J141" s="176">
        <v>0.15</v>
      </c>
      <c r="K141" s="266">
        <f>1.05*2.8*J141</f>
        <v>0.441</v>
      </c>
      <c r="L141" s="419"/>
      <c r="M141" s="419"/>
      <c r="R141" s="178"/>
      <c r="T141" s="142"/>
    </row>
    <row r="142" spans="2:21" ht="13.5" outlineLevel="1">
      <c r="B142" s="5"/>
      <c r="C142" s="261"/>
      <c r="D142" s="261" t="s">
        <v>64</v>
      </c>
      <c r="E142" s="262">
        <v>411351011</v>
      </c>
      <c r="F142" s="625" t="s">
        <v>970</v>
      </c>
      <c r="G142" s="625"/>
      <c r="H142" s="625"/>
      <c r="I142" s="625"/>
      <c r="J142" s="174" t="s">
        <v>65</v>
      </c>
      <c r="K142" s="264">
        <f>SUM(K143:K143)</f>
        <v>2.94</v>
      </c>
      <c r="L142" s="626"/>
      <c r="M142" s="626"/>
      <c r="N142" s="619">
        <f>ROUND(L142*K142,2)</f>
        <v>0</v>
      </c>
      <c r="O142" s="619"/>
      <c r="P142" s="619"/>
      <c r="Q142" s="619"/>
      <c r="R142" s="6"/>
      <c r="T142" s="142"/>
      <c r="U142" s="177"/>
    </row>
    <row r="143" spans="2:20" s="177" customFormat="1" ht="13.5" outlineLevel="1">
      <c r="B143" s="175"/>
      <c r="E143" s="319" t="s">
        <v>1219</v>
      </c>
      <c r="F143" s="627" t="s">
        <v>1221</v>
      </c>
      <c r="G143" s="628" t="e">
        <f t="shared" si="0"/>
        <v>#VALUE!</v>
      </c>
      <c r="H143" s="628" t="e">
        <f t="shared" si="0"/>
        <v>#VALUE!</v>
      </c>
      <c r="I143" s="628" t="e">
        <f t="shared" si="0"/>
        <v>#VALUE!</v>
      </c>
      <c r="J143" s="176"/>
      <c r="K143" s="266">
        <f>1.05*2.8</f>
        <v>2.94</v>
      </c>
      <c r="L143" s="419"/>
      <c r="M143" s="419"/>
      <c r="R143" s="178"/>
      <c r="T143" s="142"/>
    </row>
    <row r="144" spans="2:21" ht="13.5" outlineLevel="1">
      <c r="B144" s="5"/>
      <c r="C144" s="261"/>
      <c r="D144" s="261" t="s">
        <v>64</v>
      </c>
      <c r="E144" s="262" t="s">
        <v>973</v>
      </c>
      <c r="F144" s="625" t="s">
        <v>974</v>
      </c>
      <c r="G144" s="625"/>
      <c r="H144" s="625"/>
      <c r="I144" s="625"/>
      <c r="J144" s="174" t="s">
        <v>65</v>
      </c>
      <c r="K144" s="264">
        <f>K142</f>
        <v>2.94</v>
      </c>
      <c r="L144" s="626"/>
      <c r="M144" s="626"/>
      <c r="N144" s="619">
        <f>ROUND(L144*K144,2)</f>
        <v>0</v>
      </c>
      <c r="O144" s="619"/>
      <c r="P144" s="619"/>
      <c r="Q144" s="619"/>
      <c r="R144" s="6"/>
      <c r="T144" s="142"/>
      <c r="U144" s="177"/>
    </row>
    <row r="145" spans="2:21" ht="13.5" outlineLevel="1">
      <c r="B145" s="5"/>
      <c r="C145" s="261"/>
      <c r="D145" s="261" t="s">
        <v>64</v>
      </c>
      <c r="E145" s="262">
        <v>411354311</v>
      </c>
      <c r="F145" s="625" t="s">
        <v>975</v>
      </c>
      <c r="G145" s="625"/>
      <c r="H145" s="625"/>
      <c r="I145" s="625"/>
      <c r="J145" s="174" t="s">
        <v>65</v>
      </c>
      <c r="K145" s="264">
        <f>K142</f>
        <v>2.94</v>
      </c>
      <c r="L145" s="626"/>
      <c r="M145" s="626"/>
      <c r="N145" s="619">
        <f>ROUND(L145*K145,2)</f>
        <v>0</v>
      </c>
      <c r="O145" s="619"/>
      <c r="P145" s="619"/>
      <c r="Q145" s="619"/>
      <c r="R145" s="6"/>
      <c r="T145" s="142"/>
      <c r="U145" s="177"/>
    </row>
    <row r="146" spans="2:21" ht="13.5" outlineLevel="1">
      <c r="B146" s="5"/>
      <c r="C146" s="261"/>
      <c r="D146" s="261" t="s">
        <v>64</v>
      </c>
      <c r="E146" s="262" t="s">
        <v>976</v>
      </c>
      <c r="F146" s="625" t="s">
        <v>977</v>
      </c>
      <c r="G146" s="625"/>
      <c r="H146" s="625"/>
      <c r="I146" s="625"/>
      <c r="J146" s="174" t="s">
        <v>65</v>
      </c>
      <c r="K146" s="264">
        <f>K142</f>
        <v>2.94</v>
      </c>
      <c r="L146" s="626"/>
      <c r="M146" s="626"/>
      <c r="N146" s="619">
        <f>ROUND(L146*K146,2)</f>
        <v>0</v>
      </c>
      <c r="O146" s="619"/>
      <c r="P146" s="619"/>
      <c r="Q146" s="619"/>
      <c r="R146" s="6"/>
      <c r="T146" s="142"/>
      <c r="U146" s="177"/>
    </row>
    <row r="147" spans="2:21" ht="13.5" outlineLevel="1">
      <c r="B147" s="5"/>
      <c r="C147" s="261"/>
      <c r="D147" s="261" t="s">
        <v>64</v>
      </c>
      <c r="E147" s="262">
        <v>411361821</v>
      </c>
      <c r="F147" s="625" t="s">
        <v>986</v>
      </c>
      <c r="G147" s="625"/>
      <c r="H147" s="625"/>
      <c r="I147" s="625"/>
      <c r="J147" s="174" t="s">
        <v>68</v>
      </c>
      <c r="K147" s="264">
        <f>SUM(K148:K148)</f>
        <v>0.0882</v>
      </c>
      <c r="L147" s="626"/>
      <c r="M147" s="626"/>
      <c r="N147" s="619">
        <f>ROUND(L147*K147,2)</f>
        <v>0</v>
      </c>
      <c r="O147" s="619"/>
      <c r="P147" s="619"/>
      <c r="Q147" s="619"/>
      <c r="R147" s="6"/>
      <c r="T147" s="142"/>
      <c r="U147" s="177"/>
    </row>
    <row r="148" spans="2:20" s="177" customFormat="1" ht="13.5" outlineLevel="1">
      <c r="B148" s="175"/>
      <c r="E148" s="319" t="s">
        <v>447</v>
      </c>
      <c r="F148" s="627" t="s">
        <v>194</v>
      </c>
      <c r="G148" s="628"/>
      <c r="H148" s="628"/>
      <c r="I148" s="628"/>
      <c r="J148" s="176">
        <v>0.2</v>
      </c>
      <c r="K148" s="266">
        <f>K140*J148</f>
        <v>0.0882</v>
      </c>
      <c r="L148" s="419"/>
      <c r="M148" s="419"/>
      <c r="R148" s="178"/>
      <c r="T148" s="142"/>
    </row>
    <row r="149" spans="2:21" ht="13.5" outlineLevel="1">
      <c r="B149" s="5"/>
      <c r="C149" s="261"/>
      <c r="D149" s="261" t="s">
        <v>64</v>
      </c>
      <c r="E149" s="262">
        <v>622321121</v>
      </c>
      <c r="F149" s="625" t="s">
        <v>1223</v>
      </c>
      <c r="G149" s="625"/>
      <c r="H149" s="625"/>
      <c r="I149" s="625"/>
      <c r="J149" s="174" t="s">
        <v>65</v>
      </c>
      <c r="K149" s="264">
        <f>SUM(K150:K150)</f>
        <v>16.366</v>
      </c>
      <c r="L149" s="626"/>
      <c r="M149" s="626"/>
      <c r="N149" s="619">
        <f>ROUND(L149*K149,2)</f>
        <v>0</v>
      </c>
      <c r="O149" s="619"/>
      <c r="P149" s="619"/>
      <c r="Q149" s="619"/>
      <c r="R149" s="6"/>
      <c r="T149" s="142"/>
      <c r="U149" s="177"/>
    </row>
    <row r="150" spans="2:20" s="177" customFormat="1" ht="13.5" outlineLevel="1">
      <c r="B150" s="175"/>
      <c r="E150" s="319" t="s">
        <v>1222</v>
      </c>
      <c r="F150" s="627" t="s">
        <v>246</v>
      </c>
      <c r="G150" s="628"/>
      <c r="H150" s="628"/>
      <c r="I150" s="628"/>
      <c r="J150" s="176"/>
      <c r="K150" s="266">
        <f>(1.05*2+2.8)*2*1.67</f>
        <v>16.366</v>
      </c>
      <c r="L150" s="419"/>
      <c r="M150" s="419"/>
      <c r="R150" s="178"/>
      <c r="T150" s="142"/>
    </row>
    <row r="151" spans="2:21" ht="13.5" outlineLevel="1">
      <c r="B151" s="5"/>
      <c r="C151" s="261"/>
      <c r="D151" s="261" t="s">
        <v>64</v>
      </c>
      <c r="E151" s="262" t="s">
        <v>1069</v>
      </c>
      <c r="F151" s="625" t="s">
        <v>1070</v>
      </c>
      <c r="G151" s="625"/>
      <c r="H151" s="625"/>
      <c r="I151" s="625"/>
      <c r="J151" s="174" t="s">
        <v>65</v>
      </c>
      <c r="K151" s="264">
        <f>K149</f>
        <v>16.366</v>
      </c>
      <c r="L151" s="626"/>
      <c r="M151" s="626"/>
      <c r="N151" s="619">
        <f>ROUND(L151*K151,2)</f>
        <v>0</v>
      </c>
      <c r="O151" s="619"/>
      <c r="P151" s="619"/>
      <c r="Q151" s="619"/>
      <c r="R151" s="6"/>
      <c r="T151" s="142"/>
      <c r="U151" s="177"/>
    </row>
    <row r="152" spans="2:21" ht="13.5" outlineLevel="1">
      <c r="B152" s="5"/>
      <c r="C152" s="261"/>
      <c r="D152" s="261" t="s">
        <v>64</v>
      </c>
      <c r="E152" s="262">
        <v>622381002</v>
      </c>
      <c r="F152" s="625" t="s">
        <v>1071</v>
      </c>
      <c r="G152" s="625"/>
      <c r="H152" s="625"/>
      <c r="I152" s="625"/>
      <c r="J152" s="174" t="s">
        <v>65</v>
      </c>
      <c r="K152" s="264">
        <f>K151</f>
        <v>16.366</v>
      </c>
      <c r="L152" s="626"/>
      <c r="M152" s="626"/>
      <c r="N152" s="619">
        <f>ROUND(L152*K152,2)</f>
        <v>0</v>
      </c>
      <c r="O152" s="619"/>
      <c r="P152" s="619"/>
      <c r="Q152" s="619"/>
      <c r="R152" s="6"/>
      <c r="T152" s="142"/>
      <c r="U152" s="177"/>
    </row>
    <row r="153" spans="2:21" ht="13.5" outlineLevel="1">
      <c r="B153" s="5"/>
      <c r="C153" s="261"/>
      <c r="D153" s="261" t="s">
        <v>64</v>
      </c>
      <c r="E153" s="262">
        <v>711111001</v>
      </c>
      <c r="F153" s="625" t="s">
        <v>78</v>
      </c>
      <c r="G153" s="625"/>
      <c r="H153" s="625"/>
      <c r="I153" s="625"/>
      <c r="J153" s="174" t="s">
        <v>65</v>
      </c>
      <c r="K153" s="264">
        <f>SUM(K154:K154)</f>
        <v>2.94</v>
      </c>
      <c r="L153" s="626"/>
      <c r="M153" s="626"/>
      <c r="N153" s="619">
        <f>ROUND(L153*K153,2)</f>
        <v>0</v>
      </c>
      <c r="O153" s="619"/>
      <c r="P153" s="619"/>
      <c r="Q153" s="619"/>
      <c r="R153" s="6"/>
      <c r="T153" s="142"/>
      <c r="U153" s="177"/>
    </row>
    <row r="154" spans="2:20" s="177" customFormat="1" ht="11.25" customHeight="1" outlineLevel="1">
      <c r="B154" s="175"/>
      <c r="E154" s="319" t="s">
        <v>486</v>
      </c>
      <c r="F154" s="627" t="s">
        <v>1221</v>
      </c>
      <c r="G154" s="628" t="e">
        <f>1.05*2.8*F154</f>
        <v>#VALUE!</v>
      </c>
      <c r="H154" s="628" t="e">
        <f>1.05*2.8*G154</f>
        <v>#VALUE!</v>
      </c>
      <c r="I154" s="628" t="e">
        <f>1.05*2.8*H154</f>
        <v>#VALUE!</v>
      </c>
      <c r="J154" s="176"/>
      <c r="K154" s="266">
        <f>1.05*2.8</f>
        <v>2.94</v>
      </c>
      <c r="L154" s="419"/>
      <c r="M154" s="419"/>
      <c r="R154" s="178"/>
      <c r="T154" s="142"/>
    </row>
    <row r="155" spans="2:21" ht="13.5" outlineLevel="1">
      <c r="B155" s="5"/>
      <c r="C155" s="267"/>
      <c r="D155" s="267" t="s">
        <v>67</v>
      </c>
      <c r="E155" s="320" t="s">
        <v>79</v>
      </c>
      <c r="F155" s="651" t="s">
        <v>80</v>
      </c>
      <c r="G155" s="651"/>
      <c r="H155" s="651"/>
      <c r="I155" s="651"/>
      <c r="J155" s="179" t="s">
        <v>68</v>
      </c>
      <c r="K155" s="268">
        <f>(K153)*0.0003</f>
        <v>0.0008819999999999999</v>
      </c>
      <c r="L155" s="652"/>
      <c r="M155" s="652"/>
      <c r="N155" s="653">
        <f>ROUND(L155*K155,2)</f>
        <v>0</v>
      </c>
      <c r="O155" s="619"/>
      <c r="P155" s="619"/>
      <c r="Q155" s="619"/>
      <c r="R155" s="6"/>
      <c r="T155" s="142"/>
      <c r="U155" s="177"/>
    </row>
    <row r="156" spans="2:20" ht="27" customHeight="1" outlineLevel="1">
      <c r="B156" s="5"/>
      <c r="C156" s="261"/>
      <c r="D156" s="261" t="s">
        <v>64</v>
      </c>
      <c r="E156" s="262">
        <v>711113111</v>
      </c>
      <c r="F156" s="625" t="s">
        <v>1224</v>
      </c>
      <c r="G156" s="625"/>
      <c r="H156" s="625"/>
      <c r="I156" s="625"/>
      <c r="J156" s="174" t="s">
        <v>65</v>
      </c>
      <c r="K156" s="264">
        <f>K153</f>
        <v>2.94</v>
      </c>
      <c r="L156" s="626"/>
      <c r="M156" s="626"/>
      <c r="N156" s="619">
        <f>ROUND(L156*K156,2)</f>
        <v>0</v>
      </c>
      <c r="O156" s="619"/>
      <c r="P156" s="619"/>
      <c r="Q156" s="619"/>
      <c r="R156" s="6"/>
      <c r="T156" s="142"/>
    </row>
    <row r="157" spans="2:21" ht="13.5" outlineLevel="1">
      <c r="B157" s="5"/>
      <c r="C157" s="261"/>
      <c r="D157" s="261" t="s">
        <v>64</v>
      </c>
      <c r="E157" s="262">
        <v>713141311</v>
      </c>
      <c r="F157" s="625" t="s">
        <v>431</v>
      </c>
      <c r="G157" s="625"/>
      <c r="H157" s="625"/>
      <c r="I157" s="625"/>
      <c r="J157" s="174" t="s">
        <v>65</v>
      </c>
      <c r="K157" s="264">
        <f>SUM(K158:K158)</f>
        <v>2.94</v>
      </c>
      <c r="L157" s="626"/>
      <c r="M157" s="626"/>
      <c r="N157" s="619">
        <f>ROUND(L157*K157,2)</f>
        <v>0</v>
      </c>
      <c r="O157" s="619"/>
      <c r="P157" s="619"/>
      <c r="Q157" s="619"/>
      <c r="R157" s="6"/>
      <c r="T157" s="142"/>
      <c r="U157" s="177"/>
    </row>
    <row r="158" spans="2:20" s="177" customFormat="1" ht="11.25" customHeight="1" outlineLevel="1">
      <c r="B158" s="175"/>
      <c r="E158" s="319" t="s">
        <v>486</v>
      </c>
      <c r="F158" s="627" t="s">
        <v>1221</v>
      </c>
      <c r="G158" s="628" t="e">
        <f aca="true" t="shared" si="1" ref="G158:I160">1.05*2.8*F158</f>
        <v>#VALUE!</v>
      </c>
      <c r="H158" s="628" t="e">
        <f t="shared" si="1"/>
        <v>#VALUE!</v>
      </c>
      <c r="I158" s="628" t="e">
        <f t="shared" si="1"/>
        <v>#VALUE!</v>
      </c>
      <c r="J158" s="176"/>
      <c r="K158" s="266">
        <f>1.05*2.8</f>
        <v>2.94</v>
      </c>
      <c r="L158" s="419"/>
      <c r="M158" s="419"/>
      <c r="R158" s="178"/>
      <c r="T158" s="142"/>
    </row>
    <row r="159" spans="2:21" ht="13.5" outlineLevel="1">
      <c r="B159" s="5"/>
      <c r="C159" s="267"/>
      <c r="D159" s="267" t="s">
        <v>67</v>
      </c>
      <c r="E159" s="320" t="s">
        <v>432</v>
      </c>
      <c r="F159" s="651" t="s">
        <v>433</v>
      </c>
      <c r="G159" s="651"/>
      <c r="H159" s="651"/>
      <c r="I159" s="651"/>
      <c r="J159" s="179" t="s">
        <v>66</v>
      </c>
      <c r="K159" s="268">
        <f>SUM(K160:K160)</f>
        <v>0.10804500000000002</v>
      </c>
      <c r="L159" s="652"/>
      <c r="M159" s="652"/>
      <c r="N159" s="653">
        <f>ROUND(L159*K159,2)</f>
        <v>0</v>
      </c>
      <c r="O159" s="619"/>
      <c r="P159" s="619"/>
      <c r="Q159" s="619"/>
      <c r="R159" s="6"/>
      <c r="T159" s="142"/>
      <c r="U159" s="177"/>
    </row>
    <row r="160" spans="2:20" s="177" customFormat="1" ht="11.25" customHeight="1" outlineLevel="1">
      <c r="B160" s="175"/>
      <c r="E160" s="319" t="s">
        <v>486</v>
      </c>
      <c r="F160" s="627" t="s">
        <v>1221</v>
      </c>
      <c r="G160" s="628" t="e">
        <f t="shared" si="1"/>
        <v>#VALUE!</v>
      </c>
      <c r="H160" s="628" t="e">
        <f t="shared" si="1"/>
        <v>#VALUE!</v>
      </c>
      <c r="I160" s="628" t="e">
        <f t="shared" si="1"/>
        <v>#VALUE!</v>
      </c>
      <c r="J160" s="176">
        <f>(0.02+0.05)/2</f>
        <v>0.035</v>
      </c>
      <c r="K160" s="266">
        <f>1.05*2.8*J160*1.05</f>
        <v>0.10804500000000002</v>
      </c>
      <c r="L160" s="419"/>
      <c r="M160" s="419"/>
      <c r="R160" s="178"/>
      <c r="T160" s="142"/>
    </row>
    <row r="161" spans="2:21" ht="13.5" outlineLevel="1">
      <c r="B161" s="5"/>
      <c r="C161" s="261"/>
      <c r="D161" s="261" t="s">
        <v>64</v>
      </c>
      <c r="E161" s="262">
        <v>712392171</v>
      </c>
      <c r="F161" s="625" t="s">
        <v>434</v>
      </c>
      <c r="G161" s="625"/>
      <c r="H161" s="625"/>
      <c r="I161" s="625"/>
      <c r="J161" s="174" t="s">
        <v>65</v>
      </c>
      <c r="K161" s="264">
        <f>SUM(K162:K162)</f>
        <v>2.94</v>
      </c>
      <c r="L161" s="626"/>
      <c r="M161" s="626"/>
      <c r="N161" s="619">
        <f>ROUND(L161*K161,2)</f>
        <v>0</v>
      </c>
      <c r="O161" s="619"/>
      <c r="P161" s="619"/>
      <c r="Q161" s="619"/>
      <c r="R161" s="6"/>
      <c r="T161" s="142"/>
      <c r="U161" s="177"/>
    </row>
    <row r="162" spans="2:20" s="177" customFormat="1" ht="11.25" customHeight="1" outlineLevel="1">
      <c r="B162" s="175"/>
      <c r="E162" s="319" t="s">
        <v>486</v>
      </c>
      <c r="F162" s="627" t="s">
        <v>1221</v>
      </c>
      <c r="G162" s="628" t="e">
        <f>1.05*2.8*F162</f>
        <v>#VALUE!</v>
      </c>
      <c r="H162" s="628" t="e">
        <f>1.05*2.8*G162</f>
        <v>#VALUE!</v>
      </c>
      <c r="I162" s="628" t="e">
        <f>1.05*2.8*H162</f>
        <v>#VALUE!</v>
      </c>
      <c r="J162" s="176"/>
      <c r="K162" s="266">
        <f>1.05*2.8</f>
        <v>2.94</v>
      </c>
      <c r="L162" s="419"/>
      <c r="M162" s="419"/>
      <c r="R162" s="178"/>
      <c r="T162" s="142"/>
    </row>
    <row r="163" spans="2:21" ht="27" customHeight="1" outlineLevel="1">
      <c r="B163" s="5"/>
      <c r="C163" s="261"/>
      <c r="D163" s="261" t="s">
        <v>64</v>
      </c>
      <c r="E163" s="262">
        <v>712363001</v>
      </c>
      <c r="F163" s="625" t="s">
        <v>249</v>
      </c>
      <c r="G163" s="625"/>
      <c r="H163" s="625"/>
      <c r="I163" s="625"/>
      <c r="J163" s="174" t="s">
        <v>65</v>
      </c>
      <c r="K163" s="264">
        <f>SUM(K164:K164)</f>
        <v>2.94</v>
      </c>
      <c r="L163" s="626"/>
      <c r="M163" s="626"/>
      <c r="N163" s="619">
        <f>ROUND(L163*K163,2)</f>
        <v>0</v>
      </c>
      <c r="O163" s="619"/>
      <c r="P163" s="619"/>
      <c r="Q163" s="619"/>
      <c r="R163" s="6"/>
      <c r="T163" s="142"/>
      <c r="U163" s="177"/>
    </row>
    <row r="164" spans="2:20" s="177" customFormat="1" ht="13.5" outlineLevel="1">
      <c r="B164" s="175"/>
      <c r="E164" s="319"/>
      <c r="F164" s="627" t="s">
        <v>194</v>
      </c>
      <c r="G164" s="628">
        <f>1.865*7.425</f>
        <v>13.847624999999999</v>
      </c>
      <c r="H164" s="628">
        <f>1.865*7.425</f>
        <v>13.847624999999999</v>
      </c>
      <c r="I164" s="628">
        <f>1.865*7.425</f>
        <v>13.847624999999999</v>
      </c>
      <c r="J164" s="176"/>
      <c r="K164" s="266">
        <f>K161</f>
        <v>2.94</v>
      </c>
      <c r="L164" s="419"/>
      <c r="M164" s="419"/>
      <c r="R164" s="178"/>
      <c r="T164" s="142"/>
    </row>
    <row r="165" spans="2:21" ht="27" customHeight="1" outlineLevel="1">
      <c r="B165" s="5"/>
      <c r="C165" s="261"/>
      <c r="D165" s="261" t="s">
        <v>64</v>
      </c>
      <c r="E165" s="262">
        <v>712363352</v>
      </c>
      <c r="F165" s="625" t="s">
        <v>252</v>
      </c>
      <c r="G165" s="625"/>
      <c r="H165" s="625"/>
      <c r="I165" s="625"/>
      <c r="J165" s="174" t="s">
        <v>70</v>
      </c>
      <c r="K165" s="264">
        <f>SUM(K166:K166)</f>
        <v>7.699999999999999</v>
      </c>
      <c r="L165" s="626"/>
      <c r="M165" s="626"/>
      <c r="N165" s="619">
        <f>ROUND(L165*K165,2)</f>
        <v>0</v>
      </c>
      <c r="O165" s="619"/>
      <c r="P165" s="619"/>
      <c r="Q165" s="619"/>
      <c r="R165" s="6"/>
      <c r="T165" s="142"/>
      <c r="U165" s="177"/>
    </row>
    <row r="166" spans="2:20" s="177" customFormat="1" ht="13.5" outlineLevel="1">
      <c r="B166" s="175"/>
      <c r="E166" s="319"/>
      <c r="F166" s="627"/>
      <c r="G166" s="628"/>
      <c r="H166" s="628"/>
      <c r="I166" s="628"/>
      <c r="J166" s="176"/>
      <c r="K166" s="266">
        <f>(2.8+1.05)*2</f>
        <v>7.699999999999999</v>
      </c>
      <c r="L166" s="419"/>
      <c r="M166" s="419"/>
      <c r="R166" s="178"/>
      <c r="T166" s="142"/>
    </row>
    <row r="167" spans="2:21" ht="13.5" outlineLevel="1">
      <c r="B167" s="5"/>
      <c r="C167" s="267"/>
      <c r="D167" s="267" t="s">
        <v>67</v>
      </c>
      <c r="E167" s="320">
        <v>55344006</v>
      </c>
      <c r="F167" s="651" t="s">
        <v>254</v>
      </c>
      <c r="G167" s="651"/>
      <c r="H167" s="651"/>
      <c r="I167" s="651"/>
      <c r="J167" s="179" t="s">
        <v>70</v>
      </c>
      <c r="K167" s="268">
        <f>K165*1.1</f>
        <v>8.47</v>
      </c>
      <c r="L167" s="652"/>
      <c r="M167" s="652"/>
      <c r="N167" s="653">
        <f>ROUND(L167*K167,2)</f>
        <v>0</v>
      </c>
      <c r="O167" s="619"/>
      <c r="P167" s="619"/>
      <c r="Q167" s="619"/>
      <c r="R167" s="6"/>
      <c r="T167" s="142"/>
      <c r="U167" s="177"/>
    </row>
    <row r="168" spans="2:21" ht="13.5" outlineLevel="1">
      <c r="B168" s="5"/>
      <c r="C168" s="261"/>
      <c r="D168" s="261" t="s">
        <v>64</v>
      </c>
      <c r="E168" s="262">
        <v>712391382</v>
      </c>
      <c r="F168" s="625" t="s">
        <v>435</v>
      </c>
      <c r="G168" s="625"/>
      <c r="H168" s="625"/>
      <c r="I168" s="625"/>
      <c r="J168" s="174" t="s">
        <v>65</v>
      </c>
      <c r="K168" s="264">
        <f>SUM(K169:K169)</f>
        <v>2.94</v>
      </c>
      <c r="L168" s="626"/>
      <c r="M168" s="626"/>
      <c r="N168" s="619">
        <f>ROUND(L168*K168,2)</f>
        <v>0</v>
      </c>
      <c r="O168" s="619"/>
      <c r="P168" s="619"/>
      <c r="Q168" s="619"/>
      <c r="R168" s="6"/>
      <c r="T168" s="142"/>
      <c r="U168" s="177"/>
    </row>
    <row r="169" spans="2:20" s="177" customFormat="1" ht="11.25" customHeight="1" outlineLevel="1">
      <c r="B169" s="175"/>
      <c r="E169" s="319" t="s">
        <v>486</v>
      </c>
      <c r="F169" s="627" t="s">
        <v>1221</v>
      </c>
      <c r="G169" s="628" t="e">
        <f>1.05*2.8*F169</f>
        <v>#VALUE!</v>
      </c>
      <c r="H169" s="628" t="e">
        <f>1.05*2.8*G169</f>
        <v>#VALUE!</v>
      </c>
      <c r="I169" s="628" t="e">
        <f>1.05*2.8*H169</f>
        <v>#VALUE!</v>
      </c>
      <c r="J169" s="176"/>
      <c r="K169" s="266">
        <f>1.05*2.8</f>
        <v>2.94</v>
      </c>
      <c r="L169" s="419"/>
      <c r="M169" s="419"/>
      <c r="R169" s="178"/>
      <c r="T169" s="142"/>
    </row>
    <row r="170" spans="2:21" ht="13.5" outlineLevel="1">
      <c r="B170" s="5"/>
      <c r="C170" s="267"/>
      <c r="D170" s="267" t="s">
        <v>67</v>
      </c>
      <c r="E170" s="320">
        <v>58337401</v>
      </c>
      <c r="F170" s="651" t="s">
        <v>436</v>
      </c>
      <c r="G170" s="651"/>
      <c r="H170" s="651"/>
      <c r="I170" s="651"/>
      <c r="J170" s="179" t="s">
        <v>68</v>
      </c>
      <c r="K170" s="268">
        <f>SUM(K171)</f>
        <v>0.1764</v>
      </c>
      <c r="L170" s="652"/>
      <c r="M170" s="652"/>
      <c r="N170" s="653">
        <f>ROUND(L170*K170,2)</f>
        <v>0</v>
      </c>
      <c r="O170" s="619"/>
      <c r="P170" s="619"/>
      <c r="Q170" s="619"/>
      <c r="R170" s="6"/>
      <c r="T170" s="142"/>
      <c r="U170" s="177"/>
    </row>
    <row r="171" spans="2:20" s="177" customFormat="1" ht="13.5" outlineLevel="1">
      <c r="B171" s="175"/>
      <c r="E171" s="319" t="s">
        <v>486</v>
      </c>
      <c r="F171" s="627" t="s">
        <v>471</v>
      </c>
      <c r="G171" s="628">
        <f>G168*0.05*2</f>
        <v>0</v>
      </c>
      <c r="H171" s="628">
        <f>H168*0.05*2</f>
        <v>0</v>
      </c>
      <c r="I171" s="628">
        <f>I168*0.05*2</f>
        <v>0</v>
      </c>
      <c r="J171" s="176">
        <v>0.03</v>
      </c>
      <c r="K171" s="266">
        <f>K168*J171*2</f>
        <v>0.1764</v>
      </c>
      <c r="L171" s="419"/>
      <c r="M171" s="419"/>
      <c r="R171" s="178"/>
      <c r="T171" s="142"/>
    </row>
    <row r="172" spans="2:25" s="143" customFormat="1" ht="12.75">
      <c r="B172" s="139"/>
      <c r="C172" s="140"/>
      <c r="D172" s="140" t="s">
        <v>259</v>
      </c>
      <c r="E172" s="140"/>
      <c r="F172" s="140"/>
      <c r="G172" s="140"/>
      <c r="H172" s="140"/>
      <c r="I172" s="140"/>
      <c r="J172" s="172"/>
      <c r="K172" s="140"/>
      <c r="L172" s="186"/>
      <c r="M172" s="186"/>
      <c r="N172" s="633">
        <f>SUM(N173:Q216)</f>
        <v>0</v>
      </c>
      <c r="O172" s="633"/>
      <c r="P172" s="633"/>
      <c r="Q172" s="633"/>
      <c r="R172" s="141"/>
      <c r="T172" s="173">
        <f>SUM(N172:Q216)/2</f>
        <v>0</v>
      </c>
      <c r="U172" s="265"/>
      <c r="V172" s="265"/>
      <c r="W172" s="265"/>
      <c r="X172" s="265"/>
      <c r="Y172" s="265"/>
    </row>
    <row r="173" spans="2:20" ht="13.5" outlineLevel="1">
      <c r="B173" s="5"/>
      <c r="C173" s="261"/>
      <c r="D173" s="261"/>
      <c r="E173" s="262"/>
      <c r="F173" s="625"/>
      <c r="G173" s="625"/>
      <c r="H173" s="625"/>
      <c r="I173" s="625"/>
      <c r="J173" s="174"/>
      <c r="K173" s="264"/>
      <c r="L173" s="668"/>
      <c r="M173" s="668"/>
      <c r="N173" s="619"/>
      <c r="O173" s="619"/>
      <c r="P173" s="619"/>
      <c r="Q173" s="619"/>
      <c r="R173" s="6"/>
      <c r="T173" s="199"/>
    </row>
    <row r="174" spans="2:28" s="324" customFormat="1" ht="13.5" outlineLevel="1">
      <c r="B174" s="322"/>
      <c r="C174" s="327"/>
      <c r="D174" s="327" t="s">
        <v>1225</v>
      </c>
      <c r="E174" s="648" t="s">
        <v>1226</v>
      </c>
      <c r="F174" s="649"/>
      <c r="G174" s="649"/>
      <c r="H174" s="649"/>
      <c r="I174" s="650"/>
      <c r="J174" s="328"/>
      <c r="K174" s="329">
        <v>80.4</v>
      </c>
      <c r="L174" s="654"/>
      <c r="M174" s="654"/>
      <c r="N174" s="655"/>
      <c r="O174" s="655"/>
      <c r="P174" s="655"/>
      <c r="Q174" s="655"/>
      <c r="R174" s="323"/>
      <c r="T174" s="325"/>
      <c r="U174" s="326"/>
      <c r="V174" s="326"/>
      <c r="W174" s="326"/>
      <c r="X174" s="326"/>
      <c r="Y174" s="326"/>
      <c r="Z174" s="326"/>
      <c r="AA174" s="326"/>
      <c r="AB174" s="326"/>
    </row>
    <row r="175" spans="2:20" ht="11.25" customHeight="1" outlineLevel="1">
      <c r="B175" s="5"/>
      <c r="C175" s="261"/>
      <c r="D175" s="261" t="s">
        <v>64</v>
      </c>
      <c r="E175" s="262">
        <v>564851011</v>
      </c>
      <c r="F175" s="625" t="s">
        <v>212</v>
      </c>
      <c r="G175" s="625"/>
      <c r="H175" s="625"/>
      <c r="I175" s="625"/>
      <c r="J175" s="174" t="s">
        <v>65</v>
      </c>
      <c r="K175" s="264">
        <f>SUM(K176:K176)</f>
        <v>80.4</v>
      </c>
      <c r="L175" s="626"/>
      <c r="M175" s="626"/>
      <c r="N175" s="619">
        <f>ROUND(L175*K175,2)</f>
        <v>0</v>
      </c>
      <c r="O175" s="619"/>
      <c r="P175" s="619"/>
      <c r="Q175" s="619"/>
      <c r="R175" s="6"/>
      <c r="T175" s="142"/>
    </row>
    <row r="176" spans="2:20" s="177" customFormat="1" ht="13.5" outlineLevel="1">
      <c r="B176" s="175"/>
      <c r="E176" s="319" t="s">
        <v>473</v>
      </c>
      <c r="F176" s="627" t="s">
        <v>194</v>
      </c>
      <c r="G176" s="628">
        <f aca="true" t="shared" si="2" ref="G176:I178">45.23</f>
        <v>45.23</v>
      </c>
      <c r="H176" s="628">
        <f t="shared" si="2"/>
        <v>45.23</v>
      </c>
      <c r="I176" s="628">
        <f t="shared" si="2"/>
        <v>45.23</v>
      </c>
      <c r="J176" s="176"/>
      <c r="K176" s="266">
        <f>K174</f>
        <v>80.4</v>
      </c>
      <c r="L176" s="419"/>
      <c r="M176" s="419"/>
      <c r="R176" s="178"/>
      <c r="T176" s="142"/>
    </row>
    <row r="177" spans="2:28" ht="13.5" outlineLevel="1">
      <c r="B177" s="5"/>
      <c r="C177" s="261"/>
      <c r="D177" s="261" t="s">
        <v>64</v>
      </c>
      <c r="E177" s="262">
        <v>591411111</v>
      </c>
      <c r="F177" s="625" t="s">
        <v>685</v>
      </c>
      <c r="G177" s="625"/>
      <c r="H177" s="625"/>
      <c r="I177" s="625"/>
      <c r="J177" s="174" t="s">
        <v>65</v>
      </c>
      <c r="K177" s="264">
        <f>SUM(K178:K178)</f>
        <v>80.4</v>
      </c>
      <c r="L177" s="626"/>
      <c r="M177" s="626"/>
      <c r="N177" s="619">
        <f>ROUND(L177*K177,2)</f>
        <v>0</v>
      </c>
      <c r="O177" s="619"/>
      <c r="P177" s="619"/>
      <c r="Q177" s="619"/>
      <c r="R177" s="6"/>
      <c r="T177" s="142"/>
      <c r="U177" s="177"/>
      <c r="V177" s="177"/>
      <c r="W177" s="177"/>
      <c r="X177" s="177"/>
      <c r="Y177" s="177"/>
      <c r="Z177" s="177"/>
      <c r="AA177" s="177"/>
      <c r="AB177" s="177"/>
    </row>
    <row r="178" spans="2:20" s="177" customFormat="1" ht="13.5" outlineLevel="1">
      <c r="B178" s="175"/>
      <c r="E178" s="319" t="s">
        <v>473</v>
      </c>
      <c r="F178" s="627" t="s">
        <v>194</v>
      </c>
      <c r="G178" s="628">
        <f t="shared" si="2"/>
        <v>45.23</v>
      </c>
      <c r="H178" s="628">
        <f t="shared" si="2"/>
        <v>45.23</v>
      </c>
      <c r="I178" s="628">
        <f t="shared" si="2"/>
        <v>45.23</v>
      </c>
      <c r="J178" s="176"/>
      <c r="K178" s="266">
        <f>K174</f>
        <v>80.4</v>
      </c>
      <c r="L178" s="419"/>
      <c r="M178" s="419"/>
      <c r="R178" s="178"/>
      <c r="T178" s="142"/>
    </row>
    <row r="179" spans="2:21" ht="13.5" outlineLevel="1">
      <c r="B179" s="5"/>
      <c r="C179" s="267"/>
      <c r="D179" s="267" t="s">
        <v>67</v>
      </c>
      <c r="E179" s="320">
        <v>58381007</v>
      </c>
      <c r="F179" s="651" t="s">
        <v>1229</v>
      </c>
      <c r="G179" s="651"/>
      <c r="H179" s="651"/>
      <c r="I179" s="651"/>
      <c r="J179" s="179" t="s">
        <v>65</v>
      </c>
      <c r="K179" s="268">
        <f>K177*1.1</f>
        <v>88.44000000000001</v>
      </c>
      <c r="L179" s="652"/>
      <c r="M179" s="652"/>
      <c r="N179" s="653">
        <f>ROUND(L179*K179,2)</f>
        <v>0</v>
      </c>
      <c r="O179" s="619"/>
      <c r="P179" s="619"/>
      <c r="Q179" s="619"/>
      <c r="R179" s="6"/>
      <c r="T179" s="142"/>
      <c r="U179" s="177"/>
    </row>
    <row r="180" spans="2:28" s="324" customFormat="1" ht="13.5" outlineLevel="1">
      <c r="B180" s="322"/>
      <c r="C180" s="327"/>
      <c r="D180" s="327" t="s">
        <v>1227</v>
      </c>
      <c r="E180" s="648" t="s">
        <v>1233</v>
      </c>
      <c r="F180" s="649"/>
      <c r="G180" s="649"/>
      <c r="H180" s="649"/>
      <c r="I180" s="650"/>
      <c r="J180" s="328"/>
      <c r="K180" s="329">
        <v>97</v>
      </c>
      <c r="L180" s="654"/>
      <c r="M180" s="654"/>
      <c r="N180" s="655"/>
      <c r="O180" s="655"/>
      <c r="P180" s="655"/>
      <c r="Q180" s="655"/>
      <c r="R180" s="323"/>
      <c r="T180" s="325"/>
      <c r="U180" s="326"/>
      <c r="V180" s="326"/>
      <c r="W180" s="326"/>
      <c r="X180" s="326"/>
      <c r="Y180" s="326"/>
      <c r="Z180" s="326"/>
      <c r="AA180" s="326"/>
      <c r="AB180" s="326"/>
    </row>
    <row r="181" spans="2:20" ht="11.25" customHeight="1" outlineLevel="1">
      <c r="B181" s="5"/>
      <c r="C181" s="261"/>
      <c r="D181" s="261" t="s">
        <v>64</v>
      </c>
      <c r="E181" s="262">
        <v>564851011</v>
      </c>
      <c r="F181" s="625" t="s">
        <v>212</v>
      </c>
      <c r="G181" s="625"/>
      <c r="H181" s="625"/>
      <c r="I181" s="625"/>
      <c r="J181" s="174" t="s">
        <v>65</v>
      </c>
      <c r="K181" s="264">
        <f>SUM(K182:K182)</f>
        <v>97</v>
      </c>
      <c r="L181" s="626"/>
      <c r="M181" s="626"/>
      <c r="N181" s="619">
        <f>ROUND(L181*K181,2)</f>
        <v>0</v>
      </c>
      <c r="O181" s="619"/>
      <c r="P181" s="619"/>
      <c r="Q181" s="619"/>
      <c r="R181" s="6"/>
      <c r="T181" s="142"/>
    </row>
    <row r="182" spans="2:20" s="177" customFormat="1" ht="13.5" outlineLevel="1">
      <c r="B182" s="175"/>
      <c r="E182" s="319" t="s">
        <v>1235</v>
      </c>
      <c r="F182" s="627" t="s">
        <v>194</v>
      </c>
      <c r="G182" s="628">
        <f>45.23</f>
        <v>45.23</v>
      </c>
      <c r="H182" s="628">
        <f>45.23</f>
        <v>45.23</v>
      </c>
      <c r="I182" s="628">
        <f>45.23</f>
        <v>45.23</v>
      </c>
      <c r="J182" s="176"/>
      <c r="K182" s="266">
        <f>K180</f>
        <v>97</v>
      </c>
      <c r="L182" s="419"/>
      <c r="M182" s="419"/>
      <c r="R182" s="178"/>
      <c r="T182" s="142"/>
    </row>
    <row r="183" spans="2:28" ht="13.5" outlineLevel="1">
      <c r="B183" s="5"/>
      <c r="C183" s="261"/>
      <c r="D183" s="261" t="s">
        <v>64</v>
      </c>
      <c r="E183" s="262">
        <v>564742111</v>
      </c>
      <c r="F183" s="625" t="s">
        <v>1236</v>
      </c>
      <c r="G183" s="625"/>
      <c r="H183" s="625"/>
      <c r="I183" s="625"/>
      <c r="J183" s="174" t="s">
        <v>65</v>
      </c>
      <c r="K183" s="264">
        <f>SUM(K184:K184)</f>
        <v>97</v>
      </c>
      <c r="L183" s="626"/>
      <c r="M183" s="626"/>
      <c r="N183" s="619">
        <f>ROUND(L183*K183,2)</f>
        <v>0</v>
      </c>
      <c r="O183" s="619"/>
      <c r="P183" s="619"/>
      <c r="Q183" s="619"/>
      <c r="R183" s="6"/>
      <c r="T183" s="142"/>
      <c r="U183" s="177"/>
      <c r="V183" s="177"/>
      <c r="W183" s="177"/>
      <c r="X183" s="177"/>
      <c r="Y183" s="177"/>
      <c r="Z183" s="177"/>
      <c r="AA183" s="177"/>
      <c r="AB183" s="177"/>
    </row>
    <row r="184" spans="2:20" s="177" customFormat="1" ht="13.5" outlineLevel="1">
      <c r="B184" s="175"/>
      <c r="E184" s="319" t="s">
        <v>473</v>
      </c>
      <c r="F184" s="627" t="s">
        <v>194</v>
      </c>
      <c r="G184" s="628">
        <f>45.23</f>
        <v>45.23</v>
      </c>
      <c r="H184" s="628">
        <f>45.23</f>
        <v>45.23</v>
      </c>
      <c r="I184" s="628">
        <f>45.23</f>
        <v>45.23</v>
      </c>
      <c r="J184" s="176"/>
      <c r="K184" s="266">
        <f>K180</f>
        <v>97</v>
      </c>
      <c r="L184" s="419"/>
      <c r="M184" s="419"/>
      <c r="R184" s="178"/>
      <c r="T184" s="142"/>
    </row>
    <row r="185" spans="2:28" ht="13.5" outlineLevel="1">
      <c r="B185" s="5"/>
      <c r="C185" s="261"/>
      <c r="D185" s="261" t="s">
        <v>64</v>
      </c>
      <c r="E185" s="262">
        <v>571907117</v>
      </c>
      <c r="F185" s="625" t="s">
        <v>1237</v>
      </c>
      <c r="G185" s="625"/>
      <c r="H185" s="625"/>
      <c r="I185" s="625"/>
      <c r="J185" s="174" t="s">
        <v>65</v>
      </c>
      <c r="K185" s="264">
        <f>K180</f>
        <v>97</v>
      </c>
      <c r="L185" s="626"/>
      <c r="M185" s="626"/>
      <c r="N185" s="619">
        <f>ROUND(L185*K185,2)</f>
        <v>0</v>
      </c>
      <c r="O185" s="619"/>
      <c r="P185" s="619"/>
      <c r="Q185" s="619"/>
      <c r="R185" s="6"/>
      <c r="T185" s="142"/>
      <c r="U185" s="177"/>
      <c r="V185" s="177"/>
      <c r="W185" s="177"/>
      <c r="X185" s="177"/>
      <c r="Y185" s="177"/>
      <c r="Z185" s="177"/>
      <c r="AA185" s="177"/>
      <c r="AB185" s="177"/>
    </row>
    <row r="186" spans="2:28" s="324" customFormat="1" ht="13.5" outlineLevel="1">
      <c r="B186" s="322"/>
      <c r="C186" s="327"/>
      <c r="D186" s="327" t="s">
        <v>1228</v>
      </c>
      <c r="E186" s="648" t="s">
        <v>1232</v>
      </c>
      <c r="F186" s="649"/>
      <c r="G186" s="649"/>
      <c r="H186" s="649"/>
      <c r="I186" s="650"/>
      <c r="J186" s="328"/>
      <c r="K186" s="329">
        <v>32.3</v>
      </c>
      <c r="L186" s="654"/>
      <c r="M186" s="654"/>
      <c r="N186" s="655"/>
      <c r="O186" s="655"/>
      <c r="P186" s="655"/>
      <c r="Q186" s="655"/>
      <c r="R186" s="323"/>
      <c r="T186" s="325"/>
      <c r="U186" s="326"/>
      <c r="V186" s="326"/>
      <c r="W186" s="326"/>
      <c r="X186" s="326"/>
      <c r="Y186" s="326"/>
      <c r="Z186" s="326"/>
      <c r="AA186" s="326"/>
      <c r="AB186" s="326"/>
    </row>
    <row r="187" spans="2:20" ht="11.25" customHeight="1" outlineLevel="1">
      <c r="B187" s="5"/>
      <c r="C187" s="261"/>
      <c r="D187" s="261" t="s">
        <v>64</v>
      </c>
      <c r="E187" s="262">
        <v>564861011</v>
      </c>
      <c r="F187" s="625" t="s">
        <v>1231</v>
      </c>
      <c r="G187" s="625"/>
      <c r="H187" s="625"/>
      <c r="I187" s="625"/>
      <c r="J187" s="174" t="s">
        <v>65</v>
      </c>
      <c r="K187" s="264">
        <f>SUM(K188:K188)</f>
        <v>32.3</v>
      </c>
      <c r="L187" s="626"/>
      <c r="M187" s="626"/>
      <c r="N187" s="619">
        <f>ROUND(L187*K187,2)</f>
        <v>0</v>
      </c>
      <c r="O187" s="619"/>
      <c r="P187" s="619"/>
      <c r="Q187" s="619"/>
      <c r="R187" s="6"/>
      <c r="T187" s="142"/>
    </row>
    <row r="188" spans="2:20" s="177" customFormat="1" ht="13.5" outlineLevel="1">
      <c r="B188" s="175"/>
      <c r="E188" s="319" t="s">
        <v>1230</v>
      </c>
      <c r="F188" s="627" t="s">
        <v>194</v>
      </c>
      <c r="G188" s="628">
        <f>45.23</f>
        <v>45.23</v>
      </c>
      <c r="H188" s="628">
        <f>45.23</f>
        <v>45.23</v>
      </c>
      <c r="I188" s="628">
        <f>45.23</f>
        <v>45.23</v>
      </c>
      <c r="J188" s="176"/>
      <c r="K188" s="266">
        <f>K186</f>
        <v>32.3</v>
      </c>
      <c r="L188" s="419"/>
      <c r="M188" s="419"/>
      <c r="R188" s="178"/>
      <c r="T188" s="142"/>
    </row>
    <row r="189" spans="2:28" ht="13.5" outlineLevel="1">
      <c r="B189" s="5"/>
      <c r="C189" s="261"/>
      <c r="D189" s="261" t="s">
        <v>64</v>
      </c>
      <c r="E189" s="262">
        <v>591211111</v>
      </c>
      <c r="F189" s="625" t="s">
        <v>1234</v>
      </c>
      <c r="G189" s="625"/>
      <c r="H189" s="625"/>
      <c r="I189" s="625"/>
      <c r="J189" s="174" t="s">
        <v>65</v>
      </c>
      <c r="K189" s="264">
        <f>SUM(K190:K190)</f>
        <v>32.3</v>
      </c>
      <c r="L189" s="626"/>
      <c r="M189" s="626"/>
      <c r="N189" s="619">
        <f>ROUND(L189*K189,2)</f>
        <v>0</v>
      </c>
      <c r="O189" s="619"/>
      <c r="P189" s="619"/>
      <c r="Q189" s="619"/>
      <c r="R189" s="6"/>
      <c r="T189" s="142"/>
      <c r="U189" s="177"/>
      <c r="V189" s="177"/>
      <c r="W189" s="177"/>
      <c r="X189" s="177"/>
      <c r="Y189" s="177"/>
      <c r="Z189" s="177"/>
      <c r="AA189" s="177"/>
      <c r="AB189" s="177"/>
    </row>
    <row r="190" spans="2:20" s="177" customFormat="1" ht="13.5" outlineLevel="1">
      <c r="B190" s="175"/>
      <c r="E190" s="319" t="s">
        <v>1230</v>
      </c>
      <c r="F190" s="627" t="s">
        <v>194</v>
      </c>
      <c r="G190" s="628">
        <f>45.23</f>
        <v>45.23</v>
      </c>
      <c r="H190" s="628">
        <f>45.23</f>
        <v>45.23</v>
      </c>
      <c r="I190" s="628">
        <f>45.23</f>
        <v>45.23</v>
      </c>
      <c r="J190" s="176"/>
      <c r="K190" s="266">
        <f>K186</f>
        <v>32.3</v>
      </c>
      <c r="L190" s="419"/>
      <c r="M190" s="419"/>
      <c r="R190" s="178"/>
      <c r="T190" s="142"/>
    </row>
    <row r="191" spans="2:21" ht="11.25" customHeight="1" outlineLevel="1">
      <c r="B191" s="5"/>
      <c r="C191" s="267"/>
      <c r="D191" s="267" t="s">
        <v>67</v>
      </c>
      <c r="E191" s="320">
        <v>58381007</v>
      </c>
      <c r="F191" s="651" t="s">
        <v>1229</v>
      </c>
      <c r="G191" s="651"/>
      <c r="H191" s="651"/>
      <c r="I191" s="651"/>
      <c r="J191" s="179" t="s">
        <v>65</v>
      </c>
      <c r="K191" s="268">
        <f>K189*1.1</f>
        <v>35.53</v>
      </c>
      <c r="L191" s="652"/>
      <c r="M191" s="652"/>
      <c r="N191" s="653">
        <f>ROUND(L191*K191,2)</f>
        <v>0</v>
      </c>
      <c r="O191" s="619"/>
      <c r="P191" s="619"/>
      <c r="Q191" s="619"/>
      <c r="R191" s="6"/>
      <c r="T191" s="142"/>
      <c r="U191" s="177"/>
    </row>
    <row r="192" spans="2:20" ht="13.5" outlineLevel="1">
      <c r="B192" s="5"/>
      <c r="C192" s="261"/>
      <c r="D192" s="261"/>
      <c r="E192" s="262"/>
      <c r="F192" s="625"/>
      <c r="G192" s="625"/>
      <c r="H192" s="625"/>
      <c r="I192" s="625"/>
      <c r="J192" s="174"/>
      <c r="K192" s="264"/>
      <c r="L192" s="668"/>
      <c r="M192" s="668"/>
      <c r="N192" s="619"/>
      <c r="O192" s="619"/>
      <c r="P192" s="619"/>
      <c r="Q192" s="619"/>
      <c r="R192" s="6"/>
      <c r="T192" s="199"/>
    </row>
    <row r="193" spans="2:20" ht="27" customHeight="1" outlineLevel="1">
      <c r="B193" s="5"/>
      <c r="C193" s="261"/>
      <c r="D193" s="261" t="s">
        <v>64</v>
      </c>
      <c r="E193" s="262">
        <v>916231113</v>
      </c>
      <c r="F193" s="625" t="s">
        <v>260</v>
      </c>
      <c r="G193" s="625"/>
      <c r="H193" s="625"/>
      <c r="I193" s="625"/>
      <c r="J193" s="174" t="s">
        <v>70</v>
      </c>
      <c r="K193" s="264">
        <f>SUM(K194:K194)</f>
        <v>69.19999999999999</v>
      </c>
      <c r="L193" s="626"/>
      <c r="M193" s="626"/>
      <c r="N193" s="619">
        <f>ROUND(L193*K193,2)</f>
        <v>0</v>
      </c>
      <c r="O193" s="619"/>
      <c r="P193" s="619"/>
      <c r="Q193" s="619"/>
      <c r="R193" s="6"/>
      <c r="T193" s="142"/>
    </row>
    <row r="194" spans="2:20" s="177" customFormat="1" ht="13.5" outlineLevel="1">
      <c r="B194" s="175"/>
      <c r="E194" s="319" t="s">
        <v>1238</v>
      </c>
      <c r="F194" s="627" t="s">
        <v>1239</v>
      </c>
      <c r="G194" s="628">
        <f>14.5+7.8+0.9+13.7+7.4+6.9+14+4</f>
        <v>69.19999999999999</v>
      </c>
      <c r="H194" s="628">
        <f>14.5+7.8+0.9+13.7+7.4+6.9+14+4</f>
        <v>69.19999999999999</v>
      </c>
      <c r="I194" s="628">
        <f>14.5+7.8+0.9+13.7+7.4+6.9+14+4</f>
        <v>69.19999999999999</v>
      </c>
      <c r="J194" s="176"/>
      <c r="K194" s="266">
        <f>14.5+7.8+0.9+13.7+7.4+6.9+14+4</f>
        <v>69.19999999999999</v>
      </c>
      <c r="L194" s="419"/>
      <c r="M194" s="419"/>
      <c r="R194" s="178"/>
      <c r="T194" s="142"/>
    </row>
    <row r="195" spans="2:21" ht="13.5" outlineLevel="1">
      <c r="B195" s="5"/>
      <c r="C195" s="267"/>
      <c r="D195" s="267" t="s">
        <v>67</v>
      </c>
      <c r="E195" s="320">
        <v>59217016</v>
      </c>
      <c r="F195" s="651" t="s">
        <v>261</v>
      </c>
      <c r="G195" s="651"/>
      <c r="H195" s="651"/>
      <c r="I195" s="651"/>
      <c r="J195" s="179" t="s">
        <v>70</v>
      </c>
      <c r="K195" s="268">
        <f>(K193)*1.1</f>
        <v>76.11999999999999</v>
      </c>
      <c r="L195" s="652"/>
      <c r="M195" s="652"/>
      <c r="N195" s="653">
        <f>ROUND(L195*K195,2)</f>
        <v>0</v>
      </c>
      <c r="O195" s="619"/>
      <c r="P195" s="619"/>
      <c r="Q195" s="619"/>
      <c r="R195" s="6"/>
      <c r="T195" s="142"/>
      <c r="U195" s="177"/>
    </row>
    <row r="196" spans="2:20" ht="13.5" outlineLevel="1">
      <c r="B196" s="5"/>
      <c r="C196" s="261"/>
      <c r="D196" s="261" t="s">
        <v>64</v>
      </c>
      <c r="E196" s="262">
        <v>181311105</v>
      </c>
      <c r="F196" s="625" t="s">
        <v>475</v>
      </c>
      <c r="G196" s="625"/>
      <c r="H196" s="625"/>
      <c r="I196" s="625"/>
      <c r="J196" s="174" t="s">
        <v>65</v>
      </c>
      <c r="K196" s="264">
        <f>SUM(K197)</f>
        <v>50.1</v>
      </c>
      <c r="L196" s="626"/>
      <c r="M196" s="626"/>
      <c r="N196" s="619">
        <f>ROUND(L196*K196,2)</f>
        <v>0</v>
      </c>
      <c r="O196" s="619"/>
      <c r="P196" s="619"/>
      <c r="Q196" s="619"/>
      <c r="R196" s="6"/>
      <c r="T196" s="142"/>
    </row>
    <row r="197" spans="2:20" s="177" customFormat="1" ht="13.5" outlineLevel="1">
      <c r="B197" s="175"/>
      <c r="E197" s="319" t="s">
        <v>476</v>
      </c>
      <c r="F197" s="627" t="s">
        <v>1240</v>
      </c>
      <c r="G197" s="628">
        <f>7.3+18.8+24</f>
        <v>50.1</v>
      </c>
      <c r="H197" s="628">
        <f>7.3+18.8+24</f>
        <v>50.1</v>
      </c>
      <c r="I197" s="628">
        <f>7.3+18.8+24</f>
        <v>50.1</v>
      </c>
      <c r="J197" s="176">
        <v>0.3</v>
      </c>
      <c r="K197" s="266">
        <f>7.3+18.8+24</f>
        <v>50.1</v>
      </c>
      <c r="L197" s="419"/>
      <c r="M197" s="419"/>
      <c r="R197" s="178"/>
      <c r="T197" s="142"/>
    </row>
    <row r="198" spans="2:28" ht="27" customHeight="1" outlineLevel="1">
      <c r="B198" s="5"/>
      <c r="C198" s="261"/>
      <c r="D198" s="261" t="s">
        <v>64</v>
      </c>
      <c r="E198" s="262">
        <v>162751117</v>
      </c>
      <c r="F198" s="625" t="s">
        <v>196</v>
      </c>
      <c r="G198" s="625"/>
      <c r="H198" s="625"/>
      <c r="I198" s="625"/>
      <c r="J198" s="174" t="s">
        <v>66</v>
      </c>
      <c r="K198" s="264">
        <f>SUM(K199:K199)</f>
        <v>15.03</v>
      </c>
      <c r="L198" s="626"/>
      <c r="M198" s="626"/>
      <c r="N198" s="619">
        <f>ROUND(L198*K198,2)</f>
        <v>0</v>
      </c>
      <c r="O198" s="619"/>
      <c r="P198" s="619"/>
      <c r="Q198" s="619"/>
      <c r="R198" s="6"/>
      <c r="T198" s="142"/>
      <c r="U198" s="177"/>
      <c r="V198" s="177"/>
      <c r="W198" s="177"/>
      <c r="X198" s="177"/>
      <c r="Y198" s="177"/>
      <c r="Z198" s="177"/>
      <c r="AA198" s="177"/>
      <c r="AB198" s="177"/>
    </row>
    <row r="199" spans="2:20" s="177" customFormat="1" ht="22.5" outlineLevel="1">
      <c r="B199" s="175"/>
      <c r="E199" s="319" t="s">
        <v>477</v>
      </c>
      <c r="F199" s="627" t="s">
        <v>194</v>
      </c>
      <c r="G199" s="628"/>
      <c r="H199" s="628"/>
      <c r="I199" s="628"/>
      <c r="J199" s="176"/>
      <c r="K199" s="266">
        <f>K196*J197</f>
        <v>15.03</v>
      </c>
      <c r="L199" s="419"/>
      <c r="M199" s="419"/>
      <c r="R199" s="178"/>
      <c r="T199" s="142"/>
    </row>
    <row r="200" spans="2:28" ht="27" customHeight="1" outlineLevel="1">
      <c r="B200" s="5"/>
      <c r="C200" s="261"/>
      <c r="D200" s="261" t="s">
        <v>64</v>
      </c>
      <c r="E200" s="262">
        <v>162751119</v>
      </c>
      <c r="F200" s="625" t="s">
        <v>202</v>
      </c>
      <c r="G200" s="625"/>
      <c r="H200" s="625"/>
      <c r="I200" s="625"/>
      <c r="J200" s="174" t="s">
        <v>66</v>
      </c>
      <c r="K200" s="264">
        <f>SUM(K201:K201)</f>
        <v>375.75</v>
      </c>
      <c r="L200" s="626"/>
      <c r="M200" s="626"/>
      <c r="N200" s="619">
        <f>ROUND(L200*K200,2)</f>
        <v>0</v>
      </c>
      <c r="O200" s="619"/>
      <c r="P200" s="619"/>
      <c r="Q200" s="619"/>
      <c r="R200" s="6"/>
      <c r="T200" s="142"/>
      <c r="U200" s="177"/>
      <c r="V200" s="177"/>
      <c r="W200" s="177"/>
      <c r="X200" s="177"/>
      <c r="Y200" s="177"/>
      <c r="Z200" s="177"/>
      <c r="AA200" s="177"/>
      <c r="AB200" s="177"/>
    </row>
    <row r="201" spans="2:20" s="177" customFormat="1" ht="22.5" outlineLevel="1">
      <c r="B201" s="175"/>
      <c r="E201" s="319" t="s">
        <v>197</v>
      </c>
      <c r="F201" s="627" t="s">
        <v>478</v>
      </c>
      <c r="G201" s="628"/>
      <c r="H201" s="628"/>
      <c r="I201" s="628"/>
      <c r="J201" s="176">
        <f>35-10</f>
        <v>25</v>
      </c>
      <c r="K201" s="266">
        <f>K198*J201</f>
        <v>375.75</v>
      </c>
      <c r="L201" s="419"/>
      <c r="M201" s="419"/>
      <c r="R201" s="178"/>
      <c r="T201" s="142"/>
    </row>
    <row r="202" spans="2:28" ht="13.5" outlineLevel="1">
      <c r="B202" s="5"/>
      <c r="C202" s="261"/>
      <c r="D202" s="261" t="s">
        <v>64</v>
      </c>
      <c r="E202" s="262">
        <v>167151111</v>
      </c>
      <c r="F202" s="625" t="s">
        <v>201</v>
      </c>
      <c r="G202" s="625"/>
      <c r="H202" s="625"/>
      <c r="I202" s="625"/>
      <c r="J202" s="174" t="s">
        <v>66</v>
      </c>
      <c r="K202" s="264">
        <f>SUM(K203:K203)</f>
        <v>15.03</v>
      </c>
      <c r="L202" s="626"/>
      <c r="M202" s="626"/>
      <c r="N202" s="619">
        <f>ROUND(L202*K202,2)</f>
        <v>0</v>
      </c>
      <c r="O202" s="619"/>
      <c r="P202" s="619"/>
      <c r="Q202" s="619"/>
      <c r="R202" s="6"/>
      <c r="T202" s="142"/>
      <c r="U202" s="177"/>
      <c r="V202" s="177"/>
      <c r="W202" s="177"/>
      <c r="X202" s="177"/>
      <c r="Y202" s="177"/>
      <c r="Z202" s="177"/>
      <c r="AA202" s="177"/>
      <c r="AB202" s="177"/>
    </row>
    <row r="203" spans="2:20" s="177" customFormat="1" ht="22.5" outlineLevel="1">
      <c r="B203" s="175"/>
      <c r="E203" s="319" t="s">
        <v>479</v>
      </c>
      <c r="F203" s="627" t="s">
        <v>244</v>
      </c>
      <c r="G203" s="628"/>
      <c r="H203" s="628"/>
      <c r="I203" s="628"/>
      <c r="J203" s="176"/>
      <c r="K203" s="266">
        <f>K198</f>
        <v>15.03</v>
      </c>
      <c r="L203" s="419"/>
      <c r="M203" s="419"/>
      <c r="R203" s="178"/>
      <c r="T203" s="142"/>
    </row>
    <row r="204" spans="2:28" ht="13.5" outlineLevel="1">
      <c r="B204" s="5"/>
      <c r="C204" s="261"/>
      <c r="D204" s="261" t="s">
        <v>64</v>
      </c>
      <c r="E204" s="262">
        <v>171251201</v>
      </c>
      <c r="F204" s="625" t="s">
        <v>112</v>
      </c>
      <c r="G204" s="625"/>
      <c r="H204" s="625"/>
      <c r="I204" s="625"/>
      <c r="J204" s="174" t="s">
        <v>66</v>
      </c>
      <c r="K204" s="264">
        <f>K202</f>
        <v>15.03</v>
      </c>
      <c r="L204" s="626"/>
      <c r="M204" s="626"/>
      <c r="N204" s="619">
        <f>ROUND(L204*K204,2)</f>
        <v>0</v>
      </c>
      <c r="O204" s="619"/>
      <c r="P204" s="619"/>
      <c r="Q204" s="619"/>
      <c r="R204" s="6"/>
      <c r="T204" s="142"/>
      <c r="U204" s="177"/>
      <c r="V204" s="177"/>
      <c r="W204" s="177"/>
      <c r="X204" s="177"/>
      <c r="Y204" s="177"/>
      <c r="Z204" s="177"/>
      <c r="AA204" s="177"/>
      <c r="AB204" s="177"/>
    </row>
    <row r="205" spans="2:21" ht="13.5" outlineLevel="1">
      <c r="B205" s="5"/>
      <c r="C205" s="267"/>
      <c r="D205" s="267" t="s">
        <v>67</v>
      </c>
      <c r="E205" s="320">
        <v>10364101</v>
      </c>
      <c r="F205" s="651" t="s">
        <v>480</v>
      </c>
      <c r="G205" s="651"/>
      <c r="H205" s="651"/>
      <c r="I205" s="651"/>
      <c r="J205" s="179" t="s">
        <v>68</v>
      </c>
      <c r="K205" s="268">
        <f>SUM(K206)</f>
        <v>24.048000000000002</v>
      </c>
      <c r="L205" s="652"/>
      <c r="M205" s="652"/>
      <c r="N205" s="653">
        <f>ROUND(L205*K205,2)</f>
        <v>0</v>
      </c>
      <c r="O205" s="619"/>
      <c r="P205" s="619"/>
      <c r="Q205" s="619"/>
      <c r="R205" s="6"/>
      <c r="T205" s="142"/>
      <c r="U205" s="177"/>
    </row>
    <row r="206" spans="2:20" s="177" customFormat="1" ht="13.5" outlineLevel="1">
      <c r="B206" s="175"/>
      <c r="E206" s="319" t="s">
        <v>481</v>
      </c>
      <c r="F206" s="627" t="s">
        <v>194</v>
      </c>
      <c r="G206" s="628">
        <f>34.3</f>
        <v>34.3</v>
      </c>
      <c r="H206" s="628">
        <f>34.3</f>
        <v>34.3</v>
      </c>
      <c r="I206" s="628">
        <f>34.3</f>
        <v>34.3</v>
      </c>
      <c r="J206" s="176"/>
      <c r="K206" s="266">
        <f>K204*1.6</f>
        <v>24.048000000000002</v>
      </c>
      <c r="L206" s="419"/>
      <c r="M206" s="419"/>
      <c r="R206" s="178"/>
      <c r="T206" s="142"/>
    </row>
    <row r="207" spans="2:20" ht="13.5" outlineLevel="1">
      <c r="B207" s="5"/>
      <c r="C207" s="261"/>
      <c r="D207" s="261" t="s">
        <v>64</v>
      </c>
      <c r="E207" s="262">
        <v>181411141</v>
      </c>
      <c r="F207" s="625" t="s">
        <v>482</v>
      </c>
      <c r="G207" s="625"/>
      <c r="H207" s="625"/>
      <c r="I207" s="625"/>
      <c r="J207" s="174" t="s">
        <v>65</v>
      </c>
      <c r="K207" s="264">
        <f>K196</f>
        <v>50.1</v>
      </c>
      <c r="L207" s="626"/>
      <c r="M207" s="626"/>
      <c r="N207" s="619">
        <f>ROUND(L207*K207,2)</f>
        <v>0</v>
      </c>
      <c r="O207" s="619"/>
      <c r="P207" s="619"/>
      <c r="Q207" s="619"/>
      <c r="R207" s="6"/>
      <c r="T207" s="142"/>
    </row>
    <row r="208" spans="2:21" ht="13.5" outlineLevel="1">
      <c r="B208" s="5"/>
      <c r="C208" s="267"/>
      <c r="D208" s="267" t="s">
        <v>67</v>
      </c>
      <c r="E208" s="315" t="s">
        <v>483</v>
      </c>
      <c r="F208" s="651" t="s">
        <v>484</v>
      </c>
      <c r="G208" s="651"/>
      <c r="H208" s="651"/>
      <c r="I208" s="651"/>
      <c r="J208" s="179" t="s">
        <v>420</v>
      </c>
      <c r="K208" s="268">
        <f>K207*0.1</f>
        <v>5.010000000000001</v>
      </c>
      <c r="L208" s="652"/>
      <c r="M208" s="652"/>
      <c r="N208" s="653">
        <f>ROUND(L208*K208,2)</f>
        <v>0</v>
      </c>
      <c r="O208" s="619"/>
      <c r="P208" s="619"/>
      <c r="Q208" s="619"/>
      <c r="R208" s="6"/>
      <c r="T208" s="142"/>
      <c r="U208" s="177"/>
    </row>
    <row r="209" spans="2:28" s="324" customFormat="1" ht="13.5" outlineLevel="1">
      <c r="B209" s="322"/>
      <c r="C209" s="327"/>
      <c r="D209" s="327"/>
      <c r="E209" s="648" t="s">
        <v>1976</v>
      </c>
      <c r="F209" s="649"/>
      <c r="G209" s="649"/>
      <c r="H209" s="649"/>
      <c r="I209" s="650"/>
      <c r="J209" s="328"/>
      <c r="K209" s="329">
        <v>772</v>
      </c>
      <c r="L209" s="654"/>
      <c r="M209" s="654"/>
      <c r="N209" s="655"/>
      <c r="O209" s="655"/>
      <c r="P209" s="655"/>
      <c r="Q209" s="655"/>
      <c r="R209" s="323"/>
      <c r="T209" s="325"/>
      <c r="U209" s="326"/>
      <c r="V209" s="326"/>
      <c r="W209" s="326"/>
      <c r="X209" s="326"/>
      <c r="Y209" s="326"/>
      <c r="Z209" s="326"/>
      <c r="AA209" s="326"/>
      <c r="AB209" s="326"/>
    </row>
    <row r="210" spans="2:28" ht="27" customHeight="1" outlineLevel="1">
      <c r="B210" s="5"/>
      <c r="C210" s="261"/>
      <c r="D210" s="261" t="s">
        <v>64</v>
      </c>
      <c r="E210" s="262">
        <v>111212361</v>
      </c>
      <c r="F210" s="625" t="s">
        <v>1977</v>
      </c>
      <c r="G210" s="625"/>
      <c r="H210" s="625"/>
      <c r="I210" s="625"/>
      <c r="J210" s="174" t="s">
        <v>65</v>
      </c>
      <c r="K210" s="264">
        <f>SUM(K211:K211)</f>
        <v>386</v>
      </c>
      <c r="L210" s="626"/>
      <c r="M210" s="626"/>
      <c r="N210" s="619">
        <f>ROUND(L210*K210,2)</f>
        <v>0</v>
      </c>
      <c r="O210" s="619"/>
      <c r="P210" s="619"/>
      <c r="Q210" s="619"/>
      <c r="R210" s="6"/>
      <c r="T210" s="142"/>
      <c r="U210" s="177"/>
      <c r="V210" s="177"/>
      <c r="W210" s="177"/>
      <c r="X210" s="177"/>
      <c r="Y210" s="177"/>
      <c r="Z210" s="177"/>
      <c r="AA210" s="177"/>
      <c r="AB210" s="177"/>
    </row>
    <row r="211" spans="2:20" s="177" customFormat="1" ht="13.5" outlineLevel="1">
      <c r="B211" s="175"/>
      <c r="E211" s="319" t="s">
        <v>1978</v>
      </c>
      <c r="F211" s="627" t="s">
        <v>1984</v>
      </c>
      <c r="G211" s="628">
        <f aca="true" t="shared" si="3" ref="G211:I213">45.23</f>
        <v>45.23</v>
      </c>
      <c r="H211" s="628">
        <f t="shared" si="3"/>
        <v>45.23</v>
      </c>
      <c r="I211" s="628">
        <f t="shared" si="3"/>
        <v>45.23</v>
      </c>
      <c r="J211" s="176">
        <v>0.5</v>
      </c>
      <c r="K211" s="266">
        <f>K209*J211</f>
        <v>386</v>
      </c>
      <c r="L211" s="419"/>
      <c r="M211" s="419"/>
      <c r="R211" s="178"/>
      <c r="T211" s="142"/>
    </row>
    <row r="212" spans="2:28" ht="13.5" outlineLevel="1">
      <c r="B212" s="5"/>
      <c r="C212" s="261"/>
      <c r="D212" s="261" t="s">
        <v>64</v>
      </c>
      <c r="E212" s="262">
        <v>183554144</v>
      </c>
      <c r="F212" s="625" t="s">
        <v>1980</v>
      </c>
      <c r="G212" s="625"/>
      <c r="H212" s="625"/>
      <c r="I212" s="625"/>
      <c r="J212" s="174" t="s">
        <v>68</v>
      </c>
      <c r="K212" s="264">
        <f>SUM(K213:K213)</f>
        <v>7.72</v>
      </c>
      <c r="L212" s="626"/>
      <c r="M212" s="626"/>
      <c r="N212" s="619">
        <f>ROUND(L212*K212,2)</f>
        <v>0</v>
      </c>
      <c r="O212" s="619"/>
      <c r="P212" s="619"/>
      <c r="Q212" s="619"/>
      <c r="R212" s="6"/>
      <c r="T212" s="142"/>
      <c r="U212" s="177"/>
      <c r="V212" s="177"/>
      <c r="W212" s="177"/>
      <c r="X212" s="177"/>
      <c r="Y212" s="177"/>
      <c r="Z212" s="177"/>
      <c r="AA212" s="177"/>
      <c r="AB212" s="177"/>
    </row>
    <row r="213" spans="2:20" s="177" customFormat="1" ht="13.5" outlineLevel="1">
      <c r="B213" s="175"/>
      <c r="E213" s="319"/>
      <c r="F213" s="627" t="s">
        <v>1979</v>
      </c>
      <c r="G213" s="628">
        <f t="shared" si="3"/>
        <v>45.23</v>
      </c>
      <c r="H213" s="628">
        <f t="shared" si="3"/>
        <v>45.23</v>
      </c>
      <c r="I213" s="628">
        <f t="shared" si="3"/>
        <v>45.23</v>
      </c>
      <c r="J213" s="176">
        <v>0.01</v>
      </c>
      <c r="K213" s="266">
        <f>K209*J213</f>
        <v>7.72</v>
      </c>
      <c r="L213" s="419"/>
      <c r="M213" s="419"/>
      <c r="R213" s="178"/>
      <c r="T213" s="142"/>
    </row>
    <row r="214" spans="2:28" ht="13.5" outlineLevel="1">
      <c r="B214" s="5"/>
      <c r="C214" s="261"/>
      <c r="D214" s="261" t="s">
        <v>64</v>
      </c>
      <c r="E214" s="262" t="s">
        <v>1981</v>
      </c>
      <c r="F214" s="625" t="s">
        <v>1982</v>
      </c>
      <c r="G214" s="625"/>
      <c r="H214" s="625"/>
      <c r="I214" s="625"/>
      <c r="J214" s="174" t="s">
        <v>68</v>
      </c>
      <c r="K214" s="264">
        <f>SUM(K215:K215)</f>
        <v>223.88</v>
      </c>
      <c r="L214" s="626"/>
      <c r="M214" s="626"/>
      <c r="N214" s="619">
        <f>ROUND(L214*K214,2)</f>
        <v>0</v>
      </c>
      <c r="O214" s="619"/>
      <c r="P214" s="619"/>
      <c r="Q214" s="619"/>
      <c r="R214" s="6"/>
      <c r="T214" s="142"/>
      <c r="U214" s="177"/>
      <c r="V214" s="177"/>
      <c r="W214" s="177"/>
      <c r="X214" s="177"/>
      <c r="Y214" s="177"/>
      <c r="Z214" s="177"/>
      <c r="AA214" s="177"/>
      <c r="AB214" s="177"/>
    </row>
    <row r="215" spans="2:20" s="177" customFormat="1" ht="11.25" customHeight="1" outlineLevel="1">
      <c r="B215" s="175"/>
      <c r="E215" s="319"/>
      <c r="F215" s="627" t="s">
        <v>663</v>
      </c>
      <c r="G215" s="628"/>
      <c r="H215" s="628"/>
      <c r="I215" s="628"/>
      <c r="J215" s="176">
        <v>29</v>
      </c>
      <c r="K215" s="266">
        <f>K212*J215</f>
        <v>223.88</v>
      </c>
      <c r="L215" s="419"/>
      <c r="M215" s="419"/>
      <c r="R215" s="178"/>
      <c r="T215" s="142"/>
    </row>
    <row r="216" spans="2:28" ht="13.5" outlineLevel="1">
      <c r="B216" s="5"/>
      <c r="C216" s="261"/>
      <c r="D216" s="261" t="s">
        <v>64</v>
      </c>
      <c r="E216" s="262">
        <v>997221658</v>
      </c>
      <c r="F216" s="625" t="s">
        <v>1983</v>
      </c>
      <c r="G216" s="625"/>
      <c r="H216" s="625"/>
      <c r="I216" s="625"/>
      <c r="J216" s="174" t="s">
        <v>68</v>
      </c>
      <c r="K216" s="264">
        <f>K212</f>
        <v>7.72</v>
      </c>
      <c r="L216" s="626"/>
      <c r="M216" s="626"/>
      <c r="N216" s="619">
        <f>ROUND(L216*K216,2)</f>
        <v>0</v>
      </c>
      <c r="O216" s="619"/>
      <c r="P216" s="619"/>
      <c r="Q216" s="619"/>
      <c r="R216" s="6"/>
      <c r="T216" s="142"/>
      <c r="U216" s="177"/>
      <c r="V216" s="177"/>
      <c r="W216" s="177"/>
      <c r="X216" s="177"/>
      <c r="Y216" s="177"/>
      <c r="Z216" s="177"/>
      <c r="AA216" s="177"/>
      <c r="AB216" s="177"/>
    </row>
    <row r="217" spans="2:21" s="143" customFormat="1" ht="12.75">
      <c r="B217" s="139"/>
      <c r="C217" s="140"/>
      <c r="D217" s="140" t="s">
        <v>262</v>
      </c>
      <c r="E217" s="140"/>
      <c r="F217" s="140"/>
      <c r="G217" s="140"/>
      <c r="H217" s="140"/>
      <c r="I217" s="140"/>
      <c r="J217" s="172"/>
      <c r="K217" s="140"/>
      <c r="L217" s="186"/>
      <c r="M217" s="186"/>
      <c r="N217" s="633">
        <f>SUM(N218:Q225)</f>
        <v>0</v>
      </c>
      <c r="O217" s="633"/>
      <c r="P217" s="633"/>
      <c r="Q217" s="633"/>
      <c r="R217" s="141"/>
      <c r="T217" s="142">
        <f>SUM(N217:Q225)/2</f>
        <v>0</v>
      </c>
      <c r="U217" s="177"/>
    </row>
    <row r="218" spans="2:21" ht="13.5" outlineLevel="1">
      <c r="B218" s="5"/>
      <c r="C218" s="261"/>
      <c r="D218" s="261" t="s">
        <v>64</v>
      </c>
      <c r="E218" s="262">
        <v>916241113</v>
      </c>
      <c r="F218" s="625" t="s">
        <v>2037</v>
      </c>
      <c r="G218" s="625"/>
      <c r="H218" s="625"/>
      <c r="I218" s="625"/>
      <c r="J218" s="174" t="s">
        <v>70</v>
      </c>
      <c r="K218" s="264">
        <f>SUM(K219:K219)</f>
        <v>3.1</v>
      </c>
      <c r="L218" s="626"/>
      <c r="M218" s="626"/>
      <c r="N218" s="619">
        <f>ROUND(L218*K218,2)</f>
        <v>0</v>
      </c>
      <c r="O218" s="619"/>
      <c r="P218" s="619"/>
      <c r="Q218" s="619"/>
      <c r="R218" s="6"/>
      <c r="T218" s="142"/>
      <c r="U218" s="177"/>
    </row>
    <row r="219" spans="2:20" s="177" customFormat="1" ht="13.5" outlineLevel="1">
      <c r="B219" s="175"/>
      <c r="E219" s="319" t="s">
        <v>2038</v>
      </c>
      <c r="F219" s="627"/>
      <c r="G219" s="628"/>
      <c r="H219" s="628"/>
      <c r="I219" s="628"/>
      <c r="J219" s="176"/>
      <c r="K219" s="266">
        <v>3.1</v>
      </c>
      <c r="L219" s="419"/>
      <c r="M219" s="419"/>
      <c r="R219" s="178"/>
      <c r="T219" s="142"/>
    </row>
    <row r="220" spans="2:21" ht="13.5" outlineLevel="1">
      <c r="B220" s="5"/>
      <c r="C220" s="267"/>
      <c r="D220" s="267" t="s">
        <v>67</v>
      </c>
      <c r="E220" s="320">
        <v>58380003</v>
      </c>
      <c r="F220" s="651" t="s">
        <v>2039</v>
      </c>
      <c r="G220" s="651"/>
      <c r="H220" s="651"/>
      <c r="I220" s="651"/>
      <c r="J220" s="179" t="s">
        <v>70</v>
      </c>
      <c r="K220" s="268">
        <f>K218</f>
        <v>3.1</v>
      </c>
      <c r="L220" s="652"/>
      <c r="M220" s="652"/>
      <c r="N220" s="653">
        <f>ROUND(L220*K220,2)</f>
        <v>0</v>
      </c>
      <c r="O220" s="619"/>
      <c r="P220" s="619"/>
      <c r="Q220" s="619"/>
      <c r="R220" s="6"/>
      <c r="T220" s="142"/>
      <c r="U220" s="177"/>
    </row>
    <row r="221" spans="2:21" ht="13.5" outlineLevel="1">
      <c r="B221" s="5"/>
      <c r="C221" s="261"/>
      <c r="D221" s="261" t="s">
        <v>64</v>
      </c>
      <c r="E221" s="262">
        <v>434313115</v>
      </c>
      <c r="F221" s="625" t="s">
        <v>1242</v>
      </c>
      <c r="G221" s="625"/>
      <c r="H221" s="625"/>
      <c r="I221" s="625"/>
      <c r="J221" s="174" t="s">
        <v>70</v>
      </c>
      <c r="K221" s="264">
        <f>SUM(K222:K222)</f>
        <v>8.5</v>
      </c>
      <c r="L221" s="626"/>
      <c r="M221" s="626"/>
      <c r="N221" s="619">
        <f>ROUND(L221*K221,2)</f>
        <v>0</v>
      </c>
      <c r="O221" s="619"/>
      <c r="P221" s="619"/>
      <c r="Q221" s="619"/>
      <c r="R221" s="6"/>
      <c r="T221" s="142"/>
      <c r="U221" s="177"/>
    </row>
    <row r="222" spans="2:20" s="177" customFormat="1" ht="13.5" outlineLevel="1">
      <c r="B222" s="175"/>
      <c r="E222" s="319" t="s">
        <v>1243</v>
      </c>
      <c r="F222" s="627"/>
      <c r="G222" s="628"/>
      <c r="H222" s="628"/>
      <c r="I222" s="628"/>
      <c r="J222" s="176">
        <v>1.7</v>
      </c>
      <c r="K222" s="266">
        <f>5*J222</f>
        <v>8.5</v>
      </c>
      <c r="L222" s="419"/>
      <c r="M222" s="419"/>
      <c r="R222" s="178"/>
      <c r="T222" s="142"/>
    </row>
    <row r="223" spans="2:28" ht="27" customHeight="1" outlineLevel="1">
      <c r="B223" s="5"/>
      <c r="C223" s="261"/>
      <c r="D223" s="261" t="s">
        <v>64</v>
      </c>
      <c r="E223" s="262">
        <v>183101121</v>
      </c>
      <c r="F223" s="625" t="s">
        <v>1244</v>
      </c>
      <c r="G223" s="625"/>
      <c r="H223" s="625"/>
      <c r="I223" s="625"/>
      <c r="J223" s="174" t="s">
        <v>69</v>
      </c>
      <c r="K223" s="264">
        <v>3</v>
      </c>
      <c r="L223" s="626"/>
      <c r="M223" s="626"/>
      <c r="N223" s="619">
        <f>ROUND(L223*K223,2)</f>
        <v>0</v>
      </c>
      <c r="O223" s="619"/>
      <c r="P223" s="619"/>
      <c r="Q223" s="619"/>
      <c r="R223" s="6"/>
      <c r="T223" s="142"/>
      <c r="U223" s="177"/>
      <c r="V223" s="177"/>
      <c r="W223" s="177"/>
      <c r="X223" s="177"/>
      <c r="Y223" s="177"/>
      <c r="Z223" s="177"/>
      <c r="AA223" s="177"/>
      <c r="AB223" s="177"/>
    </row>
    <row r="224" spans="2:28" ht="27" customHeight="1" outlineLevel="1">
      <c r="B224" s="5"/>
      <c r="C224" s="261"/>
      <c r="D224" s="261" t="s">
        <v>64</v>
      </c>
      <c r="E224" s="262">
        <v>184102116</v>
      </c>
      <c r="F224" s="625" t="s">
        <v>1245</v>
      </c>
      <c r="G224" s="625"/>
      <c r="H224" s="625"/>
      <c r="I224" s="625"/>
      <c r="J224" s="174" t="s">
        <v>69</v>
      </c>
      <c r="K224" s="264">
        <f>K223</f>
        <v>3</v>
      </c>
      <c r="L224" s="626"/>
      <c r="M224" s="626"/>
      <c r="N224" s="619">
        <f>ROUND(L224*K224,2)</f>
        <v>0</v>
      </c>
      <c r="O224" s="619"/>
      <c r="P224" s="619"/>
      <c r="Q224" s="619"/>
      <c r="R224" s="6"/>
      <c r="T224" s="142"/>
      <c r="U224" s="177"/>
      <c r="V224" s="177"/>
      <c r="W224" s="177"/>
      <c r="X224" s="177"/>
      <c r="Y224" s="177"/>
      <c r="Z224" s="177"/>
      <c r="AA224" s="177"/>
      <c r="AB224" s="177"/>
    </row>
    <row r="225" spans="2:21" ht="13.5" outlineLevel="1">
      <c r="B225" s="5"/>
      <c r="C225" s="267"/>
      <c r="D225" s="267" t="s">
        <v>71</v>
      </c>
      <c r="E225" s="320" t="s">
        <v>1246</v>
      </c>
      <c r="F225" s="651" t="s">
        <v>1247</v>
      </c>
      <c r="G225" s="651"/>
      <c r="H225" s="651"/>
      <c r="I225" s="651"/>
      <c r="J225" s="179" t="s">
        <v>69</v>
      </c>
      <c r="K225" s="268">
        <f>K224</f>
        <v>3</v>
      </c>
      <c r="L225" s="652"/>
      <c r="M225" s="652"/>
      <c r="N225" s="653">
        <f>ROUND(L225*K225,2)</f>
        <v>0</v>
      </c>
      <c r="O225" s="619"/>
      <c r="P225" s="619"/>
      <c r="Q225" s="619"/>
      <c r="R225" s="6"/>
      <c r="T225" s="142"/>
      <c r="U225" s="177"/>
    </row>
    <row r="226" spans="2:20" s="143" customFormat="1" ht="12.75">
      <c r="B226" s="139"/>
      <c r="C226" s="140"/>
      <c r="D226" s="140" t="s">
        <v>77</v>
      </c>
      <c r="E226" s="140"/>
      <c r="F226" s="140"/>
      <c r="G226" s="140"/>
      <c r="H226" s="140"/>
      <c r="I226" s="140"/>
      <c r="J226" s="172"/>
      <c r="K226" s="140"/>
      <c r="L226" s="186"/>
      <c r="M226" s="186"/>
      <c r="N226" s="633">
        <f>SUM(N227)</f>
        <v>0</v>
      </c>
      <c r="O226" s="633"/>
      <c r="P226" s="633"/>
      <c r="Q226" s="633"/>
      <c r="R226" s="141"/>
      <c r="T226" s="142">
        <f>SUM(N226:Q227)/2</f>
        <v>0</v>
      </c>
    </row>
    <row r="227" spans="2:20" ht="11.25" customHeight="1" outlineLevel="1">
      <c r="B227" s="5"/>
      <c r="C227" s="261"/>
      <c r="D227" s="261" t="s">
        <v>71</v>
      </c>
      <c r="E227" s="262" t="s">
        <v>102</v>
      </c>
      <c r="F227" s="625" t="s">
        <v>117</v>
      </c>
      <c r="G227" s="625"/>
      <c r="H227" s="625"/>
      <c r="I227" s="625"/>
      <c r="J227" s="174" t="s">
        <v>72</v>
      </c>
      <c r="K227" s="180">
        <f>N114+N172+N217</f>
        <v>0</v>
      </c>
      <c r="L227" s="666"/>
      <c r="M227" s="666"/>
      <c r="N227" s="619">
        <f>ROUND(L227*K227,2)</f>
        <v>0</v>
      </c>
      <c r="O227" s="619"/>
      <c r="P227" s="619"/>
      <c r="Q227" s="619"/>
      <c r="R227" s="6"/>
      <c r="T227" s="142"/>
    </row>
    <row r="228" spans="2:20" ht="13.5">
      <c r="B228" s="32"/>
      <c r="C228" s="33"/>
      <c r="D228" s="33"/>
      <c r="E228" s="33"/>
      <c r="F228" s="33"/>
      <c r="G228" s="33"/>
      <c r="H228" s="33"/>
      <c r="I228" s="33"/>
      <c r="J228" s="181"/>
      <c r="K228" s="33"/>
      <c r="L228" s="33"/>
      <c r="M228" s="33"/>
      <c r="N228" s="33"/>
      <c r="O228" s="33"/>
      <c r="P228" s="33"/>
      <c r="Q228" s="33"/>
      <c r="R228" s="34"/>
      <c r="T228" s="142"/>
    </row>
    <row r="229" spans="10:20" ht="13.5">
      <c r="J229" s="182"/>
      <c r="T229" s="142"/>
    </row>
    <row r="230" spans="10:20" ht="13.5">
      <c r="J230" s="182"/>
      <c r="T230" s="142"/>
    </row>
    <row r="231" spans="10:20" ht="13.5">
      <c r="J231" s="182"/>
      <c r="T231" s="142"/>
    </row>
  </sheetData>
  <mergeCells count="302">
    <mergeCell ref="C2:Q2"/>
    <mergeCell ref="F4:P4"/>
    <mergeCell ref="F5:P5"/>
    <mergeCell ref="O7:P7"/>
    <mergeCell ref="O9:P9"/>
    <mergeCell ref="O10:P10"/>
    <mergeCell ref="M29:P29"/>
    <mergeCell ref="M31:P31"/>
    <mergeCell ref="H33:J33"/>
    <mergeCell ref="M33:P33"/>
    <mergeCell ref="O19:P19"/>
    <mergeCell ref="O21:P21"/>
    <mergeCell ref="E22:P22"/>
    <mergeCell ref="F12:I12"/>
    <mergeCell ref="O12:P12"/>
    <mergeCell ref="O13:P13"/>
    <mergeCell ref="O15:P15"/>
    <mergeCell ref="O16:P16"/>
    <mergeCell ref="O18:P18"/>
    <mergeCell ref="H34:J34"/>
    <mergeCell ref="M34:P34"/>
    <mergeCell ref="D25:E25"/>
    <mergeCell ref="G25:P25"/>
    <mergeCell ref="D26:E26"/>
    <mergeCell ref="G26:P26"/>
    <mergeCell ref="M82:Q82"/>
    <mergeCell ref="C84:G84"/>
    <mergeCell ref="N84:Q84"/>
    <mergeCell ref="F111:I111"/>
    <mergeCell ref="N86:Q86"/>
    <mergeCell ref="N87:Q87"/>
    <mergeCell ref="L36:P36"/>
    <mergeCell ref="C74:Q74"/>
    <mergeCell ref="F76:P76"/>
    <mergeCell ref="F77:P77"/>
    <mergeCell ref="M79:P79"/>
    <mergeCell ref="M81:Q81"/>
    <mergeCell ref="F102:P102"/>
    <mergeCell ref="M104:P104"/>
    <mergeCell ref="M106:Q106"/>
    <mergeCell ref="M107:Q107"/>
    <mergeCell ref="F108:P108"/>
    <mergeCell ref="F109:P109"/>
    <mergeCell ref="N88:Q88"/>
    <mergeCell ref="N90:Q90"/>
    <mergeCell ref="N91:Q91"/>
    <mergeCell ref="L93:Q93"/>
    <mergeCell ref="C99:Q99"/>
    <mergeCell ref="F101:P101"/>
    <mergeCell ref="N89:Q89"/>
    <mergeCell ref="L111:M111"/>
    <mergeCell ref="N111:Q111"/>
    <mergeCell ref="N112:Q112"/>
    <mergeCell ref="N113:Q113"/>
    <mergeCell ref="N185:Q185"/>
    <mergeCell ref="E186:I186"/>
    <mergeCell ref="L186:M186"/>
    <mergeCell ref="N186:Q186"/>
    <mergeCell ref="F203:I203"/>
    <mergeCell ref="L177:M177"/>
    <mergeCell ref="N177:Q177"/>
    <mergeCell ref="F178:I178"/>
    <mergeCell ref="F179:I179"/>
    <mergeCell ref="L179:M179"/>
    <mergeCell ref="N179:Q179"/>
    <mergeCell ref="F196:I196"/>
    <mergeCell ref="L196:M196"/>
    <mergeCell ref="N196:Q196"/>
    <mergeCell ref="F182:I182"/>
    <mergeCell ref="F183:I183"/>
    <mergeCell ref="L183:M183"/>
    <mergeCell ref="N183:Q183"/>
    <mergeCell ref="F184:I184"/>
    <mergeCell ref="F185:I185"/>
    <mergeCell ref="N138:Q138"/>
    <mergeCell ref="F139:I139"/>
    <mergeCell ref="N226:Q226"/>
    <mergeCell ref="F227:I227"/>
    <mergeCell ref="L227:M227"/>
    <mergeCell ref="N227:Q227"/>
    <mergeCell ref="F207:I207"/>
    <mergeCell ref="L207:M207"/>
    <mergeCell ref="N207:Q207"/>
    <mergeCell ref="F208:I208"/>
    <mergeCell ref="L208:M208"/>
    <mergeCell ref="N208:Q208"/>
    <mergeCell ref="F225:I225"/>
    <mergeCell ref="L225:M225"/>
    <mergeCell ref="N225:Q225"/>
    <mergeCell ref="L224:M224"/>
    <mergeCell ref="N224:Q224"/>
    <mergeCell ref="F223:I223"/>
    <mergeCell ref="L223:M223"/>
    <mergeCell ref="N223:Q223"/>
    <mergeCell ref="F224:I224"/>
    <mergeCell ref="N218:Q218"/>
    <mergeCell ref="F219:I219"/>
    <mergeCell ref="F220:I220"/>
    <mergeCell ref="L220:M220"/>
    <mergeCell ref="N220:Q220"/>
    <mergeCell ref="N172:Q172"/>
    <mergeCell ref="F175:I175"/>
    <mergeCell ref="L175:M175"/>
    <mergeCell ref="N175:Q175"/>
    <mergeCell ref="F176:I176"/>
    <mergeCell ref="L142:M142"/>
    <mergeCell ref="N142:Q142"/>
    <mergeCell ref="F143:I143"/>
    <mergeCell ref="F144:I144"/>
    <mergeCell ref="L144:M144"/>
    <mergeCell ref="F146:I146"/>
    <mergeCell ref="L146:M146"/>
    <mergeCell ref="N146:Q146"/>
    <mergeCell ref="N147:Q147"/>
    <mergeCell ref="L149:M149"/>
    <mergeCell ref="N149:Q149"/>
    <mergeCell ref="F148:I148"/>
    <mergeCell ref="F149:I149"/>
    <mergeCell ref="F147:I147"/>
    <mergeCell ref="L147:M147"/>
    <mergeCell ref="F150:I150"/>
    <mergeCell ref="F151:I151"/>
    <mergeCell ref="L151:M151"/>
    <mergeCell ref="N151:Q151"/>
    <mergeCell ref="L193:M193"/>
    <mergeCell ref="N193:Q193"/>
    <mergeCell ref="F187:I187"/>
    <mergeCell ref="L187:M187"/>
    <mergeCell ref="N187:Q187"/>
    <mergeCell ref="F188:I188"/>
    <mergeCell ref="E180:I180"/>
    <mergeCell ref="L180:M180"/>
    <mergeCell ref="N180:Q180"/>
    <mergeCell ref="F181:I181"/>
    <mergeCell ref="L181:M181"/>
    <mergeCell ref="N181:Q181"/>
    <mergeCell ref="F193:I193"/>
    <mergeCell ref="F132:I132"/>
    <mergeCell ref="L133:M133"/>
    <mergeCell ref="F130:I130"/>
    <mergeCell ref="L130:M130"/>
    <mergeCell ref="N130:Q130"/>
    <mergeCell ref="F133:I133"/>
    <mergeCell ref="F131:I131"/>
    <mergeCell ref="L118:M118"/>
    <mergeCell ref="N118:Q118"/>
    <mergeCell ref="F119:I119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N114:Q114"/>
    <mergeCell ref="F121:I121"/>
    <mergeCell ref="F122:I122"/>
    <mergeCell ref="L122:M122"/>
    <mergeCell ref="N122:Q122"/>
    <mergeCell ref="F123:I123"/>
    <mergeCell ref="F124:I124"/>
    <mergeCell ref="L124:M124"/>
    <mergeCell ref="N124:Q124"/>
    <mergeCell ref="F120:I120"/>
    <mergeCell ref="L120:M120"/>
    <mergeCell ref="N120:Q120"/>
    <mergeCell ref="F115:I115"/>
    <mergeCell ref="L115:M115"/>
    <mergeCell ref="N115:Q115"/>
    <mergeCell ref="F116:I116"/>
    <mergeCell ref="F117:I117"/>
    <mergeCell ref="F118:I118"/>
    <mergeCell ref="L140:M140"/>
    <mergeCell ref="N140:Q140"/>
    <mergeCell ref="F141:I141"/>
    <mergeCell ref="F136:I136"/>
    <mergeCell ref="F137:I137"/>
    <mergeCell ref="L145:M145"/>
    <mergeCell ref="N145:Q145"/>
    <mergeCell ref="F145:I145"/>
    <mergeCell ref="N133:Q133"/>
    <mergeCell ref="F142:I142"/>
    <mergeCell ref="N144:Q144"/>
    <mergeCell ref="N136:Q136"/>
    <mergeCell ref="F138:I138"/>
    <mergeCell ref="L138:M138"/>
    <mergeCell ref="F140:I140"/>
    <mergeCell ref="F134:I134"/>
    <mergeCell ref="F135:I135"/>
    <mergeCell ref="L136:M136"/>
    <mergeCell ref="F156:I156"/>
    <mergeCell ref="F155:I155"/>
    <mergeCell ref="L155:M155"/>
    <mergeCell ref="N155:Q155"/>
    <mergeCell ref="L156:M156"/>
    <mergeCell ref="N156:Q156"/>
    <mergeCell ref="F152:I152"/>
    <mergeCell ref="L152:M152"/>
    <mergeCell ref="N152:Q152"/>
    <mergeCell ref="F154:I154"/>
    <mergeCell ref="F153:I153"/>
    <mergeCell ref="L153:M153"/>
    <mergeCell ref="N153:Q153"/>
    <mergeCell ref="F163:I163"/>
    <mergeCell ref="L163:M163"/>
    <mergeCell ref="N163:Q163"/>
    <mergeCell ref="F164:I164"/>
    <mergeCell ref="F161:I161"/>
    <mergeCell ref="L161:M161"/>
    <mergeCell ref="N161:Q161"/>
    <mergeCell ref="F162:I162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8:I168"/>
    <mergeCell ref="L168:M168"/>
    <mergeCell ref="N168:Q168"/>
    <mergeCell ref="F170:I170"/>
    <mergeCell ref="L170:M170"/>
    <mergeCell ref="N170:Q170"/>
    <mergeCell ref="F165:I165"/>
    <mergeCell ref="L165:M165"/>
    <mergeCell ref="N165:Q165"/>
    <mergeCell ref="F166:I166"/>
    <mergeCell ref="F167:I167"/>
    <mergeCell ref="L167:M167"/>
    <mergeCell ref="N167:Q167"/>
    <mergeCell ref="F194:I194"/>
    <mergeCell ref="F195:I195"/>
    <mergeCell ref="L195:M195"/>
    <mergeCell ref="N195:Q195"/>
    <mergeCell ref="F169:I169"/>
    <mergeCell ref="F204:I204"/>
    <mergeCell ref="L204:M204"/>
    <mergeCell ref="N204:Q204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171:I171"/>
    <mergeCell ref="E174:I174"/>
    <mergeCell ref="L174:M174"/>
    <mergeCell ref="N174:Q174"/>
    <mergeCell ref="L185:M185"/>
    <mergeCell ref="F189:I189"/>
    <mergeCell ref="L189:M189"/>
    <mergeCell ref="F173:I173"/>
    <mergeCell ref="L173:M173"/>
    <mergeCell ref="N173:Q173"/>
    <mergeCell ref="N189:Q189"/>
    <mergeCell ref="F190:I190"/>
    <mergeCell ref="F191:I191"/>
    <mergeCell ref="L191:M191"/>
    <mergeCell ref="N191:Q191"/>
    <mergeCell ref="F192:I192"/>
    <mergeCell ref="L192:M192"/>
    <mergeCell ref="N192:Q192"/>
    <mergeCell ref="F177:I177"/>
    <mergeCell ref="F222:I222"/>
    <mergeCell ref="L216:M216"/>
    <mergeCell ref="N216:Q216"/>
    <mergeCell ref="F212:I212"/>
    <mergeCell ref="L212:M212"/>
    <mergeCell ref="N212:Q212"/>
    <mergeCell ref="F213:I213"/>
    <mergeCell ref="E209:I209"/>
    <mergeCell ref="L209:M209"/>
    <mergeCell ref="N209:Q209"/>
    <mergeCell ref="F210:I210"/>
    <mergeCell ref="L210:M210"/>
    <mergeCell ref="N210:Q210"/>
    <mergeCell ref="F211:I211"/>
    <mergeCell ref="F218:I218"/>
    <mergeCell ref="L218:M218"/>
    <mergeCell ref="F214:I214"/>
    <mergeCell ref="L214:M214"/>
    <mergeCell ref="N214:Q214"/>
    <mergeCell ref="F206:I206"/>
    <mergeCell ref="N217:Q217"/>
    <mergeCell ref="F197:I197"/>
    <mergeCell ref="F215:I215"/>
    <mergeCell ref="F216:I216"/>
    <mergeCell ref="F221:I221"/>
    <mergeCell ref="L221:M221"/>
    <mergeCell ref="N221:Q221"/>
    <mergeCell ref="F205:I205"/>
    <mergeCell ref="L205:M205"/>
    <mergeCell ref="N205:Q205"/>
    <mergeCell ref="F198:I198"/>
    <mergeCell ref="L198:M198"/>
    <mergeCell ref="N198:Q19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headerFooter>
    <oddHeader>&amp;LBD Hübnerové&amp;ROdhad stavebních nákladů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B1:V244"/>
  <sheetViews>
    <sheetView showGridLines="0" view="pageBreakPreview" zoomScaleSheetLayoutView="100" workbookViewId="0" topLeftCell="A1">
      <pane ySplit="1" topLeftCell="A2" activePane="bottomLeft" state="frozen"/>
      <selection pane="topLeft" activeCell="F118" sqref="F118:I118"/>
      <selection pane="bottomLeft" activeCell="F5" sqref="F5:R5"/>
    </sheetView>
  </sheetViews>
  <sheetFormatPr defaultColWidth="9.33203125" defaultRowHeight="13.5" outlineLevelRow="1"/>
  <cols>
    <col min="1" max="1" width="8.33203125" style="4" customWidth="1"/>
    <col min="2" max="2" width="1.66796875" style="4" customWidth="1"/>
    <col min="3" max="3" width="4.16015625" style="4" customWidth="1"/>
    <col min="4" max="4" width="4.33203125" style="4" customWidth="1"/>
    <col min="5" max="5" width="22.33203125" style="248" customWidth="1"/>
    <col min="6" max="6" width="13.83203125" style="4" customWidth="1"/>
    <col min="7" max="7" width="11.16015625" style="4" customWidth="1"/>
    <col min="8" max="8" width="12.5" style="4" customWidth="1"/>
    <col min="9" max="9" width="34.33203125" style="4" customWidth="1"/>
    <col min="10" max="10" width="6.5" style="4" customWidth="1"/>
    <col min="11" max="13" width="11.5" style="4" customWidth="1"/>
    <col min="14" max="14" width="12" style="4" customWidth="1"/>
    <col min="15" max="15" width="7.5" style="4" customWidth="1"/>
    <col min="16" max="16" width="6" style="4" customWidth="1"/>
    <col min="17" max="17" width="2" style="4" customWidth="1"/>
    <col min="18" max="18" width="12.5" style="4" customWidth="1"/>
    <col min="19" max="19" width="4.16015625" style="4" customWidth="1"/>
    <col min="20" max="20" width="1.66796875" style="4" customWidth="1"/>
    <col min="21" max="21" width="18.16015625" style="129" customWidth="1"/>
    <col min="22" max="22" width="15.16015625" style="4" customWidth="1"/>
    <col min="23" max="16384" width="9.33203125" style="4" customWidth="1"/>
  </cols>
  <sheetData>
    <row r="1" spans="2:20" ht="13.5">
      <c r="B1" s="1"/>
      <c r="C1" s="2"/>
      <c r="D1" s="2"/>
      <c r="E1" s="24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20.25">
      <c r="B2" s="5"/>
      <c r="C2" s="596" t="s">
        <v>38</v>
      </c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6"/>
    </row>
    <row r="3" spans="2:20" ht="13.5">
      <c r="B3" s="5"/>
      <c r="T3" s="6"/>
    </row>
    <row r="4" spans="2:20" ht="12">
      <c r="B4" s="5"/>
      <c r="D4" s="7" t="s">
        <v>3</v>
      </c>
      <c r="F4" s="620" t="str">
        <f>Rekapitulace!K4</f>
        <v>Stavební úpravy, vestavba a přístavba stávajícího objektu</v>
      </c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T4" s="6"/>
    </row>
    <row r="5" spans="2:20" ht="15.75">
      <c r="B5" s="5"/>
      <c r="D5" s="8" t="s">
        <v>39</v>
      </c>
      <c r="F5" s="590" t="s">
        <v>487</v>
      </c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T5" s="6"/>
    </row>
    <row r="6" spans="2:20" ht="12">
      <c r="B6" s="5"/>
      <c r="D6" s="7" t="s">
        <v>4</v>
      </c>
      <c r="F6" s="9" t="s">
        <v>0</v>
      </c>
      <c r="O6" s="7" t="s">
        <v>5</v>
      </c>
      <c r="Q6" s="9" t="s">
        <v>0</v>
      </c>
      <c r="T6" s="6"/>
    </row>
    <row r="7" spans="2:20" ht="12">
      <c r="B7" s="5"/>
      <c r="D7" s="7" t="s">
        <v>6</v>
      </c>
      <c r="F7" s="9" t="str">
        <f>Rekapitulace!I81</f>
        <v>Mírové náměstí 23/12, Bílina - p.č. 124, 125/1, 125/2, 125/3, k.ú. Bílina (604208)</v>
      </c>
      <c r="O7" s="7" t="s">
        <v>7</v>
      </c>
      <c r="Q7" s="616">
        <f>Rekapitulace!AN6</f>
        <v>0</v>
      </c>
      <c r="R7" s="616"/>
      <c r="T7" s="6"/>
    </row>
    <row r="8" spans="2:20" ht="13.5">
      <c r="B8" s="5"/>
      <c r="T8" s="6"/>
    </row>
    <row r="9" spans="2:20" ht="12">
      <c r="B9" s="5"/>
      <c r="D9" s="7" t="s">
        <v>8</v>
      </c>
      <c r="F9" s="4" t="str">
        <f>Rekapitulace!K8</f>
        <v>město Bílina</v>
      </c>
      <c r="O9" s="7" t="s">
        <v>9</v>
      </c>
      <c r="Q9" s="591" t="s">
        <v>0</v>
      </c>
      <c r="R9" s="591"/>
      <c r="T9" s="6"/>
    </row>
    <row r="10" spans="2:20" ht="12">
      <c r="B10" s="5"/>
      <c r="E10" s="249"/>
      <c r="O10" s="7" t="s">
        <v>10</v>
      </c>
      <c r="Q10" s="591" t="s">
        <v>0</v>
      </c>
      <c r="R10" s="591"/>
      <c r="T10" s="6"/>
    </row>
    <row r="11" spans="2:20" ht="13.5">
      <c r="B11" s="5"/>
      <c r="T11" s="6"/>
    </row>
    <row r="12" spans="2:20" ht="12">
      <c r="B12" s="5"/>
      <c r="D12" s="7" t="s">
        <v>11</v>
      </c>
      <c r="F12" s="635">
        <f>Rekapitulace!K11</f>
        <v>0</v>
      </c>
      <c r="G12" s="635"/>
      <c r="H12" s="635"/>
      <c r="I12" s="635"/>
      <c r="O12" s="7" t="s">
        <v>9</v>
      </c>
      <c r="Q12" s="591" t="str">
        <f>IF(Rekapitulace!AN11="","",Rekapitulace!AN11)</f>
        <v/>
      </c>
      <c r="R12" s="591"/>
      <c r="T12" s="6"/>
    </row>
    <row r="13" spans="2:20" ht="12">
      <c r="B13" s="5"/>
      <c r="E13" s="249" t="str">
        <f>IF(Rekapitulace!E12="","",Rekapitulace!E12)</f>
        <v xml:space="preserve"> </v>
      </c>
      <c r="O13" s="7" t="s">
        <v>10</v>
      </c>
      <c r="Q13" s="591" t="str">
        <f>IF(Rekapitulace!AN12="","",Rekapitulace!AN12)</f>
        <v/>
      </c>
      <c r="R13" s="591"/>
      <c r="T13" s="6"/>
    </row>
    <row r="14" spans="2:20" ht="13.5">
      <c r="B14" s="5"/>
      <c r="T14" s="6"/>
    </row>
    <row r="15" spans="2:20" ht="12">
      <c r="B15" s="5"/>
      <c r="D15" s="7" t="s">
        <v>13</v>
      </c>
      <c r="O15" s="7" t="s">
        <v>9</v>
      </c>
      <c r="Q15" s="591" t="s">
        <v>0</v>
      </c>
      <c r="R15" s="591"/>
      <c r="T15" s="6"/>
    </row>
    <row r="16" spans="2:20" ht="12">
      <c r="B16" s="5"/>
      <c r="E16" s="249" t="str">
        <f>Rekapitulace!E15</f>
        <v>Ing. arch. Bořek Peška</v>
      </c>
      <c r="O16" s="7" t="s">
        <v>10</v>
      </c>
      <c r="Q16" s="591" t="s">
        <v>0</v>
      </c>
      <c r="R16" s="591"/>
      <c r="T16" s="6"/>
    </row>
    <row r="17" spans="2:20" ht="13.5">
      <c r="B17" s="5"/>
      <c r="T17" s="6"/>
    </row>
    <row r="18" spans="2:20" ht="12">
      <c r="B18" s="5"/>
      <c r="D18" s="7" t="s">
        <v>14</v>
      </c>
      <c r="O18" s="7" t="s">
        <v>9</v>
      </c>
      <c r="Q18" s="591" t="s">
        <v>0</v>
      </c>
      <c r="R18" s="591"/>
      <c r="T18" s="6"/>
    </row>
    <row r="19" spans="2:20" ht="12">
      <c r="B19" s="5"/>
      <c r="E19" s="249" t="str">
        <f>Rekapitulace!E18</f>
        <v>Jakub Kulhavý</v>
      </c>
      <c r="O19" s="7" t="s">
        <v>10</v>
      </c>
      <c r="Q19" s="591" t="s">
        <v>0</v>
      </c>
      <c r="R19" s="591"/>
      <c r="T19" s="6"/>
    </row>
    <row r="20" spans="2:20" ht="13.5">
      <c r="B20" s="5"/>
      <c r="T20" s="6"/>
    </row>
    <row r="21" spans="2:20" ht="12">
      <c r="B21" s="5"/>
      <c r="D21" s="7" t="s">
        <v>193</v>
      </c>
      <c r="O21" s="7"/>
      <c r="Q21" s="591" t="s">
        <v>0</v>
      </c>
      <c r="R21" s="591"/>
      <c r="T21" s="6"/>
    </row>
    <row r="22" spans="2:20" ht="12" customHeight="1">
      <c r="B22" s="5"/>
      <c r="E22" s="608" t="str">
        <f>Rekapitulace!E21</f>
        <v>projektové dokumentace ve stupni DPS z 04/2023</v>
      </c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T22" s="6"/>
    </row>
    <row r="23" spans="2:20" ht="13.5">
      <c r="B23" s="5"/>
      <c r="T23" s="6"/>
    </row>
    <row r="24" spans="2:21" ht="12">
      <c r="B24" s="5"/>
      <c r="D24" s="9" t="s">
        <v>96</v>
      </c>
      <c r="T24" s="6"/>
      <c r="U24" s="571"/>
    </row>
    <row r="25" spans="2:21" ht="12">
      <c r="B25" s="5"/>
      <c r="D25" s="687" t="str">
        <f>Rekapitulace!E24</f>
        <v>REV01</v>
      </c>
      <c r="E25" s="687"/>
      <c r="F25" s="572">
        <f>Rekapitulace!H24</f>
        <v>45104</v>
      </c>
      <c r="G25" s="688" t="str">
        <f>Rekapitulace!K24</f>
        <v>Úprava popisů a položek ve vyznačených listech</v>
      </c>
      <c r="H25" s="688"/>
      <c r="I25" s="688"/>
      <c r="J25" s="688"/>
      <c r="K25" s="688"/>
      <c r="L25" s="688"/>
      <c r="M25" s="688"/>
      <c r="N25" s="688"/>
      <c r="O25" s="688"/>
      <c r="P25" s="688"/>
      <c r="Q25" s="688"/>
      <c r="R25" s="688"/>
      <c r="T25" s="6"/>
      <c r="U25" s="199"/>
    </row>
    <row r="26" spans="2:21" s="238" customFormat="1" ht="12">
      <c r="B26" s="237"/>
      <c r="D26" s="635"/>
      <c r="E26" s="635"/>
      <c r="F26" s="19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  <c r="R26" s="608"/>
      <c r="T26" s="239"/>
      <c r="U26" s="142"/>
    </row>
    <row r="27" spans="2:20" ht="13.5">
      <c r="B27" s="5"/>
      <c r="T27" s="6"/>
    </row>
    <row r="28" spans="2:20" ht="13.5">
      <c r="B28" s="5"/>
      <c r="D28" s="24"/>
      <c r="E28" s="250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T28" s="6"/>
    </row>
    <row r="29" spans="2:20" ht="12.75">
      <c r="B29" s="5"/>
      <c r="D29" s="147" t="s">
        <v>40</v>
      </c>
      <c r="O29" s="611">
        <f>N96</f>
        <v>0</v>
      </c>
      <c r="P29" s="611"/>
      <c r="Q29" s="611"/>
      <c r="R29" s="611"/>
      <c r="T29" s="6"/>
    </row>
    <row r="30" spans="2:20" ht="13.5">
      <c r="B30" s="5"/>
      <c r="T30" s="6"/>
    </row>
    <row r="31" spans="2:20" ht="12.75">
      <c r="B31" s="5"/>
      <c r="D31" s="148" t="s">
        <v>16</v>
      </c>
      <c r="O31" s="634">
        <f>ROUND(O29,2)</f>
        <v>0</v>
      </c>
      <c r="P31" s="603"/>
      <c r="Q31" s="603"/>
      <c r="R31" s="603"/>
      <c r="T31" s="6"/>
    </row>
    <row r="32" spans="2:20" ht="13.5">
      <c r="B32" s="5"/>
      <c r="D32" s="24"/>
      <c r="E32" s="25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T32" s="6"/>
    </row>
    <row r="33" spans="2:20" ht="13.5">
      <c r="B33" s="5"/>
      <c r="D33" s="16" t="s">
        <v>17</v>
      </c>
      <c r="E33" s="251" t="s">
        <v>18</v>
      </c>
      <c r="F33" s="252">
        <v>0.21</v>
      </c>
      <c r="G33" s="150" t="s">
        <v>19</v>
      </c>
      <c r="H33" s="640">
        <f>ROUND(O31,2)</f>
        <v>0</v>
      </c>
      <c r="I33" s="603"/>
      <c r="J33" s="603"/>
      <c r="O33" s="640">
        <f>ROUND(H33*F33,2)</f>
        <v>0</v>
      </c>
      <c r="P33" s="603"/>
      <c r="Q33" s="603"/>
      <c r="R33" s="603"/>
      <c r="T33" s="6"/>
    </row>
    <row r="34" spans="2:20" ht="13.5">
      <c r="B34" s="5"/>
      <c r="E34" s="251" t="s">
        <v>20</v>
      </c>
      <c r="F34" s="252">
        <v>0.15</v>
      </c>
      <c r="G34" s="150" t="s">
        <v>19</v>
      </c>
      <c r="H34" s="640">
        <v>0</v>
      </c>
      <c r="I34" s="603"/>
      <c r="J34" s="603"/>
      <c r="O34" s="640">
        <f>ROUND(H34*F34,2)</f>
        <v>0</v>
      </c>
      <c r="P34" s="603"/>
      <c r="Q34" s="603"/>
      <c r="R34" s="603"/>
      <c r="T34" s="6"/>
    </row>
    <row r="35" spans="2:20" ht="13.5">
      <c r="B35" s="5"/>
      <c r="T35" s="6"/>
    </row>
    <row r="36" spans="2:20" ht="15.75">
      <c r="B36" s="5"/>
      <c r="C36" s="50"/>
      <c r="D36" s="151" t="s">
        <v>24</v>
      </c>
      <c r="E36" s="253"/>
      <c r="F36" s="41"/>
      <c r="G36" s="152" t="s">
        <v>25</v>
      </c>
      <c r="H36" s="153" t="s">
        <v>26</v>
      </c>
      <c r="I36" s="41"/>
      <c r="J36" s="41"/>
      <c r="K36" s="41"/>
      <c r="L36" s="41"/>
      <c r="M36" s="41"/>
      <c r="N36" s="638">
        <f>SUM(O31:O34)</f>
        <v>0</v>
      </c>
      <c r="O36" s="638"/>
      <c r="P36" s="638"/>
      <c r="Q36" s="638"/>
      <c r="R36" s="639"/>
      <c r="S36" s="50"/>
      <c r="T36" s="6"/>
    </row>
    <row r="37" spans="2:20" ht="13.5">
      <c r="B37" s="5"/>
      <c r="T37" s="6"/>
    </row>
    <row r="38" spans="2:20" ht="13.5">
      <c r="B38" s="5"/>
      <c r="T38" s="6"/>
    </row>
    <row r="39" spans="2:20" ht="13.5">
      <c r="B39" s="5"/>
      <c r="T39" s="6"/>
    </row>
    <row r="40" spans="2:20" ht="13.5">
      <c r="B40" s="5"/>
      <c r="T40" s="6"/>
    </row>
    <row r="41" spans="2:20" ht="13.5">
      <c r="B41" s="5"/>
      <c r="T41" s="6"/>
    </row>
    <row r="42" spans="2:20" ht="13.5">
      <c r="B42" s="5"/>
      <c r="T42" s="6"/>
    </row>
    <row r="43" spans="2:20" ht="13.5">
      <c r="B43" s="5"/>
      <c r="T43" s="6"/>
    </row>
    <row r="44" spans="2:20" ht="13.5">
      <c r="B44" s="5"/>
      <c r="T44" s="6"/>
    </row>
    <row r="45" spans="2:20" ht="13.5">
      <c r="B45" s="5"/>
      <c r="T45" s="6"/>
    </row>
    <row r="46" spans="2:20" ht="13.5">
      <c r="B46" s="5"/>
      <c r="T46" s="6"/>
    </row>
    <row r="47" spans="2:20" ht="13.5">
      <c r="B47" s="5"/>
      <c r="T47" s="6"/>
    </row>
    <row r="48" spans="2:20" ht="12.75">
      <c r="B48" s="5"/>
      <c r="D48" s="23" t="s">
        <v>27</v>
      </c>
      <c r="E48" s="250"/>
      <c r="F48" s="24"/>
      <c r="G48" s="24"/>
      <c r="H48" s="25"/>
      <c r="J48" s="23" t="s">
        <v>28</v>
      </c>
      <c r="K48" s="24"/>
      <c r="L48" s="24"/>
      <c r="M48" s="24"/>
      <c r="N48" s="24"/>
      <c r="O48" s="24"/>
      <c r="P48" s="24"/>
      <c r="Q48" s="24"/>
      <c r="R48" s="25"/>
      <c r="T48" s="6"/>
    </row>
    <row r="49" spans="2:20" ht="13.5">
      <c r="B49" s="5"/>
      <c r="D49" s="26"/>
      <c r="H49" s="27"/>
      <c r="J49" s="26"/>
      <c r="R49" s="27"/>
      <c r="T49" s="6"/>
    </row>
    <row r="50" spans="2:20" ht="13.5">
      <c r="B50" s="5"/>
      <c r="D50" s="26"/>
      <c r="H50" s="27"/>
      <c r="J50" s="26"/>
      <c r="R50" s="27"/>
      <c r="T50" s="6"/>
    </row>
    <row r="51" spans="2:20" ht="13.5">
      <c r="B51" s="5"/>
      <c r="D51" s="26"/>
      <c r="H51" s="27"/>
      <c r="J51" s="26"/>
      <c r="R51" s="27"/>
      <c r="T51" s="6"/>
    </row>
    <row r="52" spans="2:20" ht="13.5">
      <c r="B52" s="5"/>
      <c r="D52" s="26"/>
      <c r="H52" s="27"/>
      <c r="J52" s="26"/>
      <c r="R52" s="27"/>
      <c r="T52" s="6"/>
    </row>
    <row r="53" spans="2:20" ht="13.5">
      <c r="B53" s="5"/>
      <c r="D53" s="26"/>
      <c r="H53" s="27"/>
      <c r="J53" s="26"/>
      <c r="R53" s="27"/>
      <c r="T53" s="6"/>
    </row>
    <row r="54" spans="2:20" ht="13.5">
      <c r="B54" s="5"/>
      <c r="D54" s="26"/>
      <c r="H54" s="27"/>
      <c r="J54" s="26"/>
      <c r="R54" s="27"/>
      <c r="T54" s="6"/>
    </row>
    <row r="55" spans="2:20" ht="13.5">
      <c r="B55" s="5"/>
      <c r="D55" s="26"/>
      <c r="H55" s="27"/>
      <c r="J55" s="26"/>
      <c r="R55" s="27"/>
      <c r="T55" s="6"/>
    </row>
    <row r="56" spans="2:20" ht="13.5">
      <c r="B56" s="5"/>
      <c r="D56" s="26"/>
      <c r="H56" s="27"/>
      <c r="J56" s="26"/>
      <c r="R56" s="27"/>
      <c r="T56" s="6"/>
    </row>
    <row r="57" spans="2:20" ht="12.75">
      <c r="B57" s="5"/>
      <c r="D57" s="28" t="s">
        <v>29</v>
      </c>
      <c r="E57" s="254"/>
      <c r="F57" s="29"/>
      <c r="G57" s="30" t="s">
        <v>30</v>
      </c>
      <c r="H57" s="31"/>
      <c r="J57" s="28" t="s">
        <v>29</v>
      </c>
      <c r="K57" s="29"/>
      <c r="L57" s="29"/>
      <c r="M57" s="29"/>
      <c r="N57" s="29"/>
      <c r="O57" s="29"/>
      <c r="P57" s="30" t="s">
        <v>30</v>
      </c>
      <c r="Q57" s="29"/>
      <c r="R57" s="31"/>
      <c r="T57" s="6"/>
    </row>
    <row r="58" spans="2:20" ht="13.5">
      <c r="B58" s="5"/>
      <c r="T58" s="6"/>
    </row>
    <row r="59" spans="2:20" ht="12.75">
      <c r="B59" s="5"/>
      <c r="D59" s="23" t="s">
        <v>31</v>
      </c>
      <c r="E59" s="250"/>
      <c r="F59" s="24"/>
      <c r="G59" s="24"/>
      <c r="H59" s="25"/>
      <c r="J59" s="23" t="s">
        <v>32</v>
      </c>
      <c r="K59" s="24"/>
      <c r="L59" s="24"/>
      <c r="M59" s="24"/>
      <c r="N59" s="24"/>
      <c r="O59" s="24"/>
      <c r="P59" s="24"/>
      <c r="Q59" s="24"/>
      <c r="R59" s="25"/>
      <c r="T59" s="6"/>
    </row>
    <row r="60" spans="2:20" ht="13.5">
      <c r="B60" s="5"/>
      <c r="D60" s="26"/>
      <c r="H60" s="27"/>
      <c r="J60" s="26"/>
      <c r="R60" s="27"/>
      <c r="T60" s="6"/>
    </row>
    <row r="61" spans="2:20" ht="13.5">
      <c r="B61" s="5"/>
      <c r="D61" s="26"/>
      <c r="H61" s="27"/>
      <c r="J61" s="26"/>
      <c r="R61" s="27"/>
      <c r="T61" s="6"/>
    </row>
    <row r="62" spans="2:20" ht="13.5">
      <c r="B62" s="5"/>
      <c r="D62" s="26"/>
      <c r="H62" s="27"/>
      <c r="J62" s="26"/>
      <c r="R62" s="27"/>
      <c r="T62" s="6"/>
    </row>
    <row r="63" spans="2:20" ht="13.5">
      <c r="B63" s="5"/>
      <c r="D63" s="26"/>
      <c r="H63" s="27"/>
      <c r="J63" s="26"/>
      <c r="R63" s="27"/>
      <c r="T63" s="6"/>
    </row>
    <row r="64" spans="2:20" ht="13.5">
      <c r="B64" s="5"/>
      <c r="D64" s="26"/>
      <c r="H64" s="27"/>
      <c r="J64" s="26"/>
      <c r="R64" s="27"/>
      <c r="T64" s="6"/>
    </row>
    <row r="65" spans="2:20" ht="13.5">
      <c r="B65" s="5"/>
      <c r="D65" s="26"/>
      <c r="H65" s="27"/>
      <c r="J65" s="26"/>
      <c r="R65" s="27"/>
      <c r="T65" s="6"/>
    </row>
    <row r="66" spans="2:20" ht="13.5">
      <c r="B66" s="5"/>
      <c r="D66" s="26"/>
      <c r="H66" s="27"/>
      <c r="J66" s="26"/>
      <c r="R66" s="27"/>
      <c r="T66" s="6"/>
    </row>
    <row r="67" spans="2:20" ht="13.5">
      <c r="B67" s="5"/>
      <c r="D67" s="26"/>
      <c r="H67" s="27"/>
      <c r="J67" s="26"/>
      <c r="R67" s="27"/>
      <c r="T67" s="6"/>
    </row>
    <row r="68" spans="2:20" ht="12.75">
      <c r="B68" s="5"/>
      <c r="D68" s="28" t="s">
        <v>29</v>
      </c>
      <c r="E68" s="254"/>
      <c r="F68" s="29"/>
      <c r="G68" s="30" t="s">
        <v>30</v>
      </c>
      <c r="H68" s="31"/>
      <c r="J68" s="28" t="s">
        <v>29</v>
      </c>
      <c r="K68" s="29"/>
      <c r="L68" s="29"/>
      <c r="M68" s="29"/>
      <c r="N68" s="29"/>
      <c r="O68" s="29"/>
      <c r="P68" s="30" t="s">
        <v>30</v>
      </c>
      <c r="Q68" s="29"/>
      <c r="R68" s="31"/>
      <c r="T68" s="6"/>
    </row>
    <row r="69" spans="2:20" ht="13.5">
      <c r="B69" s="32"/>
      <c r="C69" s="33"/>
      <c r="D69" s="33"/>
      <c r="E69" s="255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4"/>
    </row>
    <row r="73" spans="2:20" ht="13.5">
      <c r="B73" s="1"/>
      <c r="C73" s="2"/>
      <c r="D73" s="2"/>
      <c r="E73" s="24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3"/>
    </row>
    <row r="74" spans="2:20" ht="20.25">
      <c r="B74" s="5"/>
      <c r="C74" s="596" t="s">
        <v>41</v>
      </c>
      <c r="D74" s="597"/>
      <c r="E74" s="597"/>
      <c r="F74" s="597"/>
      <c r="G74" s="597"/>
      <c r="H74" s="597"/>
      <c r="I74" s="597"/>
      <c r="J74" s="597"/>
      <c r="K74" s="597"/>
      <c r="L74" s="597"/>
      <c r="M74" s="597"/>
      <c r="N74" s="597"/>
      <c r="O74" s="597"/>
      <c r="P74" s="597"/>
      <c r="Q74" s="597"/>
      <c r="R74" s="597"/>
      <c r="S74" s="597"/>
      <c r="T74" s="6"/>
    </row>
    <row r="75" spans="2:20" ht="13.5">
      <c r="B75" s="5"/>
      <c r="T75" s="6"/>
    </row>
    <row r="76" spans="2:20" ht="12">
      <c r="B76" s="5"/>
      <c r="C76" s="7" t="s">
        <v>3</v>
      </c>
      <c r="F76" s="620" t="str">
        <f>F4</f>
        <v>Stavební úpravy, vestavba a přístavba stávajícího objektu</v>
      </c>
      <c r="G76" s="621"/>
      <c r="H76" s="621"/>
      <c r="I76" s="621"/>
      <c r="J76" s="621"/>
      <c r="K76" s="621"/>
      <c r="L76" s="621"/>
      <c r="M76" s="621"/>
      <c r="N76" s="621"/>
      <c r="O76" s="621"/>
      <c r="P76" s="621"/>
      <c r="Q76" s="621"/>
      <c r="R76" s="621"/>
      <c r="T76" s="6"/>
    </row>
    <row r="77" spans="2:20" ht="15.75">
      <c r="B77" s="5"/>
      <c r="C77" s="8" t="s">
        <v>39</v>
      </c>
      <c r="F77" s="590" t="str">
        <f>F5</f>
        <v>Výrobky a specifikace</v>
      </c>
      <c r="G77" s="603"/>
      <c r="H77" s="603"/>
      <c r="I77" s="603"/>
      <c r="J77" s="603"/>
      <c r="K77" s="603"/>
      <c r="L77" s="603"/>
      <c r="M77" s="603"/>
      <c r="N77" s="603"/>
      <c r="O77" s="603"/>
      <c r="P77" s="603"/>
      <c r="Q77" s="603"/>
      <c r="R77" s="603"/>
      <c r="T77" s="6"/>
    </row>
    <row r="78" spans="2:20" ht="13.5">
      <c r="B78" s="5"/>
      <c r="T78" s="6"/>
    </row>
    <row r="79" spans="2:20" ht="12">
      <c r="B79" s="5"/>
      <c r="C79" s="7" t="s">
        <v>6</v>
      </c>
      <c r="F79" s="9" t="str">
        <f>F7</f>
        <v>Mírové náměstí 23/12, Bílina - p.č. 124, 125/1, 125/2, 125/3, k.ú. Bílina (604208)</v>
      </c>
      <c r="K79" s="7"/>
      <c r="L79" s="7"/>
      <c r="M79" s="7" t="s">
        <v>7</v>
      </c>
      <c r="O79" s="616">
        <f>IF(Q7="","",Q7)</f>
        <v>0</v>
      </c>
      <c r="P79" s="616"/>
      <c r="Q79" s="616"/>
      <c r="R79" s="616"/>
      <c r="T79" s="6"/>
    </row>
    <row r="80" spans="2:20" ht="13.5">
      <c r="B80" s="5"/>
      <c r="T80" s="6"/>
    </row>
    <row r="81" spans="2:20" ht="12">
      <c r="B81" s="5"/>
      <c r="C81" s="7" t="s">
        <v>8</v>
      </c>
      <c r="F81" s="9" t="str">
        <f>F9</f>
        <v>město Bílina</v>
      </c>
      <c r="K81" s="7"/>
      <c r="L81" s="7"/>
      <c r="M81" s="7" t="s">
        <v>13</v>
      </c>
      <c r="O81" s="591" t="str">
        <f>E16</f>
        <v>Ing. arch. Bořek Peška</v>
      </c>
      <c r="P81" s="591"/>
      <c r="Q81" s="591"/>
      <c r="R81" s="591"/>
      <c r="S81" s="591"/>
      <c r="T81" s="6"/>
    </row>
    <row r="82" spans="2:20" ht="12">
      <c r="B82" s="5"/>
      <c r="C82" s="7" t="s">
        <v>11</v>
      </c>
      <c r="F82" s="9">
        <f>F12</f>
        <v>0</v>
      </c>
      <c r="K82" s="7"/>
      <c r="L82" s="7"/>
      <c r="M82" s="7" t="s">
        <v>14</v>
      </c>
      <c r="O82" s="591" t="str">
        <f>E19</f>
        <v>Jakub Kulhavý</v>
      </c>
      <c r="P82" s="591"/>
      <c r="Q82" s="591"/>
      <c r="R82" s="591"/>
      <c r="S82" s="591"/>
      <c r="T82" s="6"/>
    </row>
    <row r="83" spans="2:20" ht="13.5">
      <c r="B83" s="5"/>
      <c r="T83" s="6"/>
    </row>
    <row r="84" spans="2:20" ht="54" customHeight="1">
      <c r="B84" s="5"/>
      <c r="C84" s="7" t="s">
        <v>109</v>
      </c>
      <c r="E84" s="4"/>
      <c r="F84" s="589" t="s">
        <v>110</v>
      </c>
      <c r="G84" s="589"/>
      <c r="H84" s="589"/>
      <c r="I84" s="589"/>
      <c r="J84" s="589"/>
      <c r="K84" s="589"/>
      <c r="L84" s="589"/>
      <c r="M84" s="589"/>
      <c r="N84" s="589"/>
      <c r="O84" s="589"/>
      <c r="P84" s="589"/>
      <c r="Q84" s="589"/>
      <c r="R84" s="589"/>
      <c r="T84" s="6"/>
    </row>
    <row r="85" spans="2:20" ht="13.5">
      <c r="B85" s="5"/>
      <c r="E85" s="4"/>
      <c r="T85" s="6"/>
    </row>
    <row r="86" spans="2:20" ht="12">
      <c r="B86" s="5"/>
      <c r="C86" s="641" t="s">
        <v>42</v>
      </c>
      <c r="D86" s="642"/>
      <c r="E86" s="642"/>
      <c r="F86" s="642"/>
      <c r="G86" s="642"/>
      <c r="H86" s="50"/>
      <c r="I86" s="50"/>
      <c r="J86" s="50"/>
      <c r="K86" s="50"/>
      <c r="L86" s="50"/>
      <c r="M86" s="50"/>
      <c r="N86" s="50"/>
      <c r="O86" s="50"/>
      <c r="P86" s="641" t="s">
        <v>43</v>
      </c>
      <c r="Q86" s="642"/>
      <c r="R86" s="642"/>
      <c r="S86" s="642"/>
      <c r="T86" s="6"/>
    </row>
    <row r="87" spans="2:20" ht="13.5">
      <c r="B87" s="5"/>
      <c r="T87" s="6"/>
    </row>
    <row r="88" spans="2:20" ht="15.75">
      <c r="B88" s="5"/>
      <c r="C88" s="160" t="s">
        <v>44</v>
      </c>
      <c r="P88" s="602">
        <f>SUM(P89:S95)</f>
        <v>0</v>
      </c>
      <c r="Q88" s="643"/>
      <c r="R88" s="643"/>
      <c r="S88" s="643"/>
      <c r="T88" s="6"/>
    </row>
    <row r="89" spans="2:21" s="131" customFormat="1" ht="12.75">
      <c r="B89" s="130"/>
      <c r="D89" s="167" t="str">
        <f>D116</f>
        <v>D.1.1.36_SPECIFIKACE VÝPLNÍ VNĚJŠÍCH OTVORŮ</v>
      </c>
      <c r="E89" s="256"/>
      <c r="P89" s="631">
        <f>P116</f>
        <v>0</v>
      </c>
      <c r="Q89" s="632"/>
      <c r="R89" s="632"/>
      <c r="S89" s="632"/>
      <c r="T89" s="132"/>
      <c r="U89" s="133"/>
    </row>
    <row r="90" spans="2:21" s="131" customFormat="1" ht="12.75">
      <c r="B90" s="130"/>
      <c r="D90" s="167" t="str">
        <f>D148</f>
        <v>D.1.1.37_SPECIFIKACE INTERIÉROVÝCH DVEŘÍ</v>
      </c>
      <c r="E90" s="256"/>
      <c r="P90" s="631">
        <f>P148</f>
        <v>0</v>
      </c>
      <c r="Q90" s="632"/>
      <c r="R90" s="632"/>
      <c r="S90" s="632"/>
      <c r="T90" s="132"/>
      <c r="U90" s="133"/>
    </row>
    <row r="91" spans="2:21" s="131" customFormat="1" ht="12.75">
      <c r="B91" s="130"/>
      <c r="D91" s="167" t="str">
        <f>D174</f>
        <v>D.1.1.38_SPECIFIKACE KLEMPÍŘSKÝCH PRVKŮ</v>
      </c>
      <c r="E91" s="256"/>
      <c r="P91" s="631">
        <f>P174</f>
        <v>0</v>
      </c>
      <c r="Q91" s="632"/>
      <c r="R91" s="632"/>
      <c r="S91" s="632"/>
      <c r="T91" s="132"/>
      <c r="U91" s="133"/>
    </row>
    <row r="92" spans="2:21" s="131" customFormat="1" ht="12.75">
      <c r="B92" s="130"/>
      <c r="D92" s="167" t="str">
        <f>D193</f>
        <v>D.1.1.39_SPECIFIKACE ZÁMEČNICKÝCH PRVKŮ</v>
      </c>
      <c r="E92" s="256"/>
      <c r="P92" s="631">
        <f>P193</f>
        <v>0</v>
      </c>
      <c r="Q92" s="632"/>
      <c r="R92" s="632"/>
      <c r="S92" s="632"/>
      <c r="T92" s="132"/>
      <c r="U92" s="133"/>
    </row>
    <row r="93" spans="2:21" s="131" customFormat="1" ht="12.75">
      <c r="B93" s="130"/>
      <c r="D93" s="167" t="str">
        <f>D220</f>
        <v>D.1.1.40_SPECIFIKACE TRUHLÁŘSKÝCH PRVKŮ</v>
      </c>
      <c r="E93" s="256"/>
      <c r="P93" s="631">
        <f>P220</f>
        <v>0</v>
      </c>
      <c r="Q93" s="632"/>
      <c r="R93" s="632"/>
      <c r="S93" s="632"/>
      <c r="T93" s="132"/>
      <c r="U93" s="133"/>
    </row>
    <row r="94" spans="2:21" s="131" customFormat="1" ht="12.75">
      <c r="B94" s="130"/>
      <c r="D94" s="167" t="str">
        <f>D225</f>
        <v>D.1.1.41_SPECIFIKACE OSTATNÍCH PRVKŮ</v>
      </c>
      <c r="E94" s="256"/>
      <c r="P94" s="631">
        <f>P225</f>
        <v>0</v>
      </c>
      <c r="Q94" s="632"/>
      <c r="R94" s="632"/>
      <c r="S94" s="632"/>
      <c r="T94" s="132"/>
      <c r="U94" s="133"/>
    </row>
    <row r="95" spans="2:20" ht="13.5">
      <c r="B95" s="5"/>
      <c r="T95" s="6"/>
    </row>
    <row r="96" spans="2:20" ht="15.75">
      <c r="B96" s="5"/>
      <c r="C96" s="49" t="s">
        <v>98</v>
      </c>
      <c r="D96" s="50"/>
      <c r="E96" s="257"/>
      <c r="F96" s="50"/>
      <c r="G96" s="50"/>
      <c r="H96" s="50"/>
      <c r="I96" s="50"/>
      <c r="J96" s="50"/>
      <c r="K96" s="50"/>
      <c r="L96" s="50"/>
      <c r="M96" s="50"/>
      <c r="N96" s="615">
        <f>ROUND(P88,2)</f>
        <v>0</v>
      </c>
      <c r="O96" s="615"/>
      <c r="P96" s="615"/>
      <c r="Q96" s="615"/>
      <c r="R96" s="615"/>
      <c r="S96" s="615"/>
      <c r="T96" s="6"/>
    </row>
    <row r="97" spans="2:20" ht="13.5">
      <c r="B97" s="32"/>
      <c r="C97" s="33"/>
      <c r="D97" s="33"/>
      <c r="E97" s="255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</row>
    <row r="101" spans="2:20" ht="13.5">
      <c r="B101" s="1"/>
      <c r="C101" s="2"/>
      <c r="D101" s="2"/>
      <c r="E101" s="24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3"/>
    </row>
    <row r="102" spans="2:20" ht="20.25">
      <c r="B102" s="5"/>
      <c r="C102" s="596" t="s">
        <v>57</v>
      </c>
      <c r="D102" s="603"/>
      <c r="E102" s="603"/>
      <c r="F102" s="603"/>
      <c r="G102" s="603"/>
      <c r="H102" s="603"/>
      <c r="I102" s="603"/>
      <c r="J102" s="603"/>
      <c r="K102" s="603"/>
      <c r="L102" s="603"/>
      <c r="M102" s="603"/>
      <c r="N102" s="603"/>
      <c r="O102" s="603"/>
      <c r="P102" s="603"/>
      <c r="Q102" s="603"/>
      <c r="R102" s="603"/>
      <c r="S102" s="603"/>
      <c r="T102" s="6"/>
    </row>
    <row r="103" spans="2:20" ht="13.5">
      <c r="B103" s="5"/>
      <c r="T103" s="6"/>
    </row>
    <row r="104" spans="2:20" ht="12">
      <c r="B104" s="5"/>
      <c r="C104" s="7" t="s">
        <v>3</v>
      </c>
      <c r="F104" s="620" t="str">
        <f>F4</f>
        <v>Stavební úpravy, vestavba a přístavba stávajícího objektu</v>
      </c>
      <c r="G104" s="621"/>
      <c r="H104" s="621"/>
      <c r="I104" s="621"/>
      <c r="J104" s="621"/>
      <c r="K104" s="621"/>
      <c r="L104" s="621"/>
      <c r="M104" s="621"/>
      <c r="N104" s="621"/>
      <c r="O104" s="621"/>
      <c r="P104" s="621"/>
      <c r="Q104" s="621"/>
      <c r="R104" s="621"/>
      <c r="T104" s="6"/>
    </row>
    <row r="105" spans="2:20" ht="15.75">
      <c r="B105" s="5"/>
      <c r="C105" s="8" t="s">
        <v>39</v>
      </c>
      <c r="F105" s="590" t="str">
        <f>F5</f>
        <v>Výrobky a specifikace</v>
      </c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T105" s="6"/>
    </row>
    <row r="106" spans="2:20" ht="13.5">
      <c r="B106" s="5"/>
      <c r="T106" s="6"/>
    </row>
    <row r="107" spans="2:20" ht="12">
      <c r="B107" s="5"/>
      <c r="C107" s="7" t="s">
        <v>6</v>
      </c>
      <c r="F107" s="9" t="str">
        <f>F7</f>
        <v>Mírové náměstí 23/12, Bílina - p.č. 124, 125/1, 125/2, 125/3, k.ú. Bílina (604208)</v>
      </c>
      <c r="K107" s="7"/>
      <c r="L107" s="7"/>
      <c r="M107" s="7" t="s">
        <v>7</v>
      </c>
      <c r="O107" s="616">
        <f>IF(Q7="","",Q7)</f>
        <v>0</v>
      </c>
      <c r="P107" s="616"/>
      <c r="Q107" s="616"/>
      <c r="R107" s="616"/>
      <c r="T107" s="6"/>
    </row>
    <row r="108" spans="2:20" ht="13.5">
      <c r="B108" s="5"/>
      <c r="T108" s="6"/>
    </row>
    <row r="109" spans="2:20" ht="12">
      <c r="B109" s="5"/>
      <c r="C109" s="7" t="s">
        <v>8</v>
      </c>
      <c r="F109" s="9" t="str">
        <f>F81</f>
        <v>město Bílina</v>
      </c>
      <c r="K109" s="7"/>
      <c r="L109" s="7"/>
      <c r="M109" s="7" t="s">
        <v>13</v>
      </c>
      <c r="O109" s="591" t="str">
        <f>E16</f>
        <v>Ing. arch. Bořek Peška</v>
      </c>
      <c r="P109" s="591"/>
      <c r="Q109" s="591"/>
      <c r="R109" s="591"/>
      <c r="S109" s="591"/>
      <c r="T109" s="6"/>
    </row>
    <row r="110" spans="2:20" ht="12">
      <c r="B110" s="5"/>
      <c r="C110" s="7" t="s">
        <v>11</v>
      </c>
      <c r="F110" s="9">
        <f>F82</f>
        <v>0</v>
      </c>
      <c r="K110" s="7"/>
      <c r="L110" s="7"/>
      <c r="M110" s="7" t="s">
        <v>14</v>
      </c>
      <c r="O110" s="591" t="str">
        <f>E19</f>
        <v>Jakub Kulhavý</v>
      </c>
      <c r="P110" s="591"/>
      <c r="Q110" s="591"/>
      <c r="R110" s="591"/>
      <c r="S110" s="591"/>
      <c r="T110" s="6"/>
    </row>
    <row r="111" spans="2:20" ht="13.5">
      <c r="B111" s="5"/>
      <c r="T111" s="6"/>
    </row>
    <row r="112" spans="2:20" ht="28.5" customHeight="1">
      <c r="B112" s="5"/>
      <c r="C112" s="7" t="s">
        <v>109</v>
      </c>
      <c r="E112" s="4"/>
      <c r="F112" s="589" t="s">
        <v>2058</v>
      </c>
      <c r="G112" s="589"/>
      <c r="H112" s="589"/>
      <c r="I112" s="589"/>
      <c r="J112" s="589"/>
      <c r="K112" s="589"/>
      <c r="L112" s="589"/>
      <c r="M112" s="589"/>
      <c r="N112" s="589"/>
      <c r="O112" s="589"/>
      <c r="P112" s="589"/>
      <c r="Q112" s="589"/>
      <c r="R112" s="589"/>
      <c r="T112" s="6"/>
    </row>
    <row r="113" spans="2:20" ht="13.5">
      <c r="B113" s="5"/>
      <c r="E113" s="4"/>
      <c r="T113" s="6"/>
    </row>
    <row r="114" spans="2:21" s="138" customFormat="1" ht="24">
      <c r="B114" s="134"/>
      <c r="C114" s="169" t="s">
        <v>58</v>
      </c>
      <c r="D114" s="135" t="s">
        <v>59</v>
      </c>
      <c r="E114" s="135" t="s">
        <v>34</v>
      </c>
      <c r="F114" s="622" t="s">
        <v>60</v>
      </c>
      <c r="G114" s="622"/>
      <c r="H114" s="622"/>
      <c r="I114" s="622"/>
      <c r="J114" s="135" t="s">
        <v>61</v>
      </c>
      <c r="K114" s="135" t="s">
        <v>2075</v>
      </c>
      <c r="L114" s="135" t="s">
        <v>2076</v>
      </c>
      <c r="M114" s="135" t="s">
        <v>2077</v>
      </c>
      <c r="N114" s="623" t="s">
        <v>63</v>
      </c>
      <c r="O114" s="623"/>
      <c r="P114" s="622" t="s">
        <v>43</v>
      </c>
      <c r="Q114" s="622"/>
      <c r="R114" s="622"/>
      <c r="S114" s="624"/>
      <c r="T114" s="136"/>
      <c r="U114" s="137"/>
    </row>
    <row r="115" spans="2:21" ht="15.75">
      <c r="B115" s="5"/>
      <c r="C115" s="42" t="str">
        <f>C88</f>
        <v>1) Náklady z rozpočtu</v>
      </c>
      <c r="P115" s="644">
        <f>P116+P148+P174+P193+P220+P225</f>
        <v>0</v>
      </c>
      <c r="Q115" s="645"/>
      <c r="R115" s="645"/>
      <c r="S115" s="645"/>
      <c r="T115" s="6"/>
      <c r="U115" s="129">
        <f>SUM(P115:S241)/3</f>
        <v>0</v>
      </c>
    </row>
    <row r="116" spans="2:21" s="143" customFormat="1" ht="12.75">
      <c r="B116" s="139"/>
      <c r="C116" s="258"/>
      <c r="D116" s="140" t="s">
        <v>2055</v>
      </c>
      <c r="E116" s="259"/>
      <c r="F116" s="140"/>
      <c r="G116" s="140"/>
      <c r="H116" s="140"/>
      <c r="I116" s="140"/>
      <c r="J116" s="140"/>
      <c r="K116" s="260"/>
      <c r="L116" s="260"/>
      <c r="M116" s="260"/>
      <c r="N116" s="140"/>
      <c r="O116" s="140"/>
      <c r="P116" s="633">
        <f>SUM(P118:S147)</f>
        <v>0</v>
      </c>
      <c r="Q116" s="633"/>
      <c r="R116" s="633"/>
      <c r="S116" s="633"/>
      <c r="T116" s="141"/>
      <c r="U116" s="142"/>
    </row>
    <row r="117" spans="2:21" ht="13.5" outlineLevel="1">
      <c r="B117" s="5"/>
      <c r="C117" s="396"/>
      <c r="D117" s="396"/>
      <c r="E117" s="682" t="s">
        <v>2056</v>
      </c>
      <c r="F117" s="683"/>
      <c r="G117" s="683"/>
      <c r="H117" s="683"/>
      <c r="I117" s="684"/>
      <c r="J117" s="397"/>
      <c r="K117" s="398"/>
      <c r="L117" s="398"/>
      <c r="M117" s="398"/>
      <c r="N117" s="685"/>
      <c r="O117" s="685"/>
      <c r="P117" s="681"/>
      <c r="Q117" s="681"/>
      <c r="R117" s="681"/>
      <c r="S117" s="681"/>
      <c r="T117" s="6"/>
      <c r="U117" s="142"/>
    </row>
    <row r="118" spans="2:21" ht="30.75" customHeight="1" outlineLevel="1">
      <c r="B118" s="5"/>
      <c r="C118" s="261"/>
      <c r="D118" s="261"/>
      <c r="E118" s="262" t="s">
        <v>488</v>
      </c>
      <c r="F118" s="625" t="s">
        <v>2057</v>
      </c>
      <c r="G118" s="625"/>
      <c r="H118" s="625"/>
      <c r="I118" s="625"/>
      <c r="J118" s="263" t="s">
        <v>65</v>
      </c>
      <c r="K118" s="264">
        <f aca="true" t="shared" si="0" ref="K118">1.8*2.95</f>
        <v>5.3100000000000005</v>
      </c>
      <c r="L118" s="264">
        <v>1</v>
      </c>
      <c r="M118" s="264">
        <f>K118*L118</f>
        <v>5.3100000000000005</v>
      </c>
      <c r="N118" s="626"/>
      <c r="O118" s="626"/>
      <c r="P118" s="619">
        <f aca="true" t="shared" si="1" ref="P118:P135">ROUND(N118*M118,2)</f>
        <v>0</v>
      </c>
      <c r="Q118" s="619"/>
      <c r="R118" s="619"/>
      <c r="S118" s="619"/>
      <c r="T118" s="6"/>
      <c r="U118" s="142"/>
    </row>
    <row r="119" spans="2:21" ht="30.75" customHeight="1" outlineLevel="1">
      <c r="B119" s="5"/>
      <c r="C119" s="261"/>
      <c r="D119" s="261"/>
      <c r="E119" s="262" t="s">
        <v>489</v>
      </c>
      <c r="F119" s="625" t="s">
        <v>2069</v>
      </c>
      <c r="G119" s="625"/>
      <c r="H119" s="625"/>
      <c r="I119" s="625"/>
      <c r="J119" s="263" t="s">
        <v>65</v>
      </c>
      <c r="K119" s="264">
        <f aca="true" t="shared" si="2" ref="K119">1.8*2.5</f>
        <v>4.5</v>
      </c>
      <c r="L119" s="264">
        <v>1</v>
      </c>
      <c r="M119" s="264">
        <f aca="true" t="shared" si="3" ref="M119:M135">K119*L119</f>
        <v>4.5</v>
      </c>
      <c r="N119" s="626"/>
      <c r="O119" s="626"/>
      <c r="P119" s="619">
        <f aca="true" t="shared" si="4" ref="P119:P130">ROUND(N119*M119,2)</f>
        <v>0</v>
      </c>
      <c r="Q119" s="619"/>
      <c r="R119" s="619"/>
      <c r="S119" s="619"/>
      <c r="T119" s="6"/>
      <c r="U119" s="142"/>
    </row>
    <row r="120" spans="2:21" ht="30.75" customHeight="1" outlineLevel="1">
      <c r="B120" s="5"/>
      <c r="C120" s="261"/>
      <c r="D120" s="261"/>
      <c r="E120" s="262" t="s">
        <v>490</v>
      </c>
      <c r="F120" s="625" t="s">
        <v>2070</v>
      </c>
      <c r="G120" s="625"/>
      <c r="H120" s="625"/>
      <c r="I120" s="625"/>
      <c r="J120" s="263" t="s">
        <v>65</v>
      </c>
      <c r="K120" s="264">
        <f aca="true" t="shared" si="5" ref="K120">1*2.05</f>
        <v>2.05</v>
      </c>
      <c r="L120" s="264">
        <v>1</v>
      </c>
      <c r="M120" s="264">
        <f t="shared" si="3"/>
        <v>2.05</v>
      </c>
      <c r="N120" s="626"/>
      <c r="O120" s="626"/>
      <c r="P120" s="619">
        <f t="shared" si="4"/>
        <v>0</v>
      </c>
      <c r="Q120" s="619"/>
      <c r="R120" s="619"/>
      <c r="S120" s="619"/>
      <c r="T120" s="6"/>
      <c r="U120" s="142"/>
    </row>
    <row r="121" spans="2:21" ht="30.75" customHeight="1" outlineLevel="1">
      <c r="B121" s="5"/>
      <c r="C121" s="261"/>
      <c r="D121" s="261"/>
      <c r="E121" s="262" t="s">
        <v>491</v>
      </c>
      <c r="F121" s="625" t="s">
        <v>2071</v>
      </c>
      <c r="G121" s="625"/>
      <c r="H121" s="625"/>
      <c r="I121" s="625"/>
      <c r="J121" s="263" t="s">
        <v>65</v>
      </c>
      <c r="K121" s="264">
        <f aca="true" t="shared" si="6" ref="K121">2*2.4</f>
        <v>4.8</v>
      </c>
      <c r="L121" s="264">
        <v>1</v>
      </c>
      <c r="M121" s="264">
        <f t="shared" si="3"/>
        <v>4.8</v>
      </c>
      <c r="N121" s="626"/>
      <c r="O121" s="626"/>
      <c r="P121" s="619">
        <f t="shared" si="4"/>
        <v>0</v>
      </c>
      <c r="Q121" s="619"/>
      <c r="R121" s="619"/>
      <c r="S121" s="619"/>
      <c r="T121" s="6"/>
      <c r="U121" s="142"/>
    </row>
    <row r="122" spans="2:21" ht="13.5" outlineLevel="1">
      <c r="B122" s="5"/>
      <c r="C122" s="396"/>
      <c r="D122" s="396"/>
      <c r="E122" s="682" t="s">
        <v>2072</v>
      </c>
      <c r="F122" s="683"/>
      <c r="G122" s="683"/>
      <c r="H122" s="683"/>
      <c r="I122" s="684"/>
      <c r="J122" s="397"/>
      <c r="K122" s="398"/>
      <c r="L122" s="398"/>
      <c r="M122" s="398"/>
      <c r="N122" s="685"/>
      <c r="O122" s="685"/>
      <c r="P122" s="681"/>
      <c r="Q122" s="681"/>
      <c r="R122" s="681"/>
      <c r="S122" s="681"/>
      <c r="T122" s="6"/>
      <c r="U122" s="142"/>
    </row>
    <row r="123" spans="2:21" ht="30.75" customHeight="1" outlineLevel="1">
      <c r="B123" s="5"/>
      <c r="C123" s="261"/>
      <c r="D123" s="261"/>
      <c r="E123" s="262" t="s">
        <v>492</v>
      </c>
      <c r="F123" s="625" t="s">
        <v>2073</v>
      </c>
      <c r="G123" s="625"/>
      <c r="H123" s="625"/>
      <c r="I123" s="625"/>
      <c r="J123" s="263" t="s">
        <v>65</v>
      </c>
      <c r="K123" s="264">
        <f aca="true" t="shared" si="7" ref="K123">1.48*2.4</f>
        <v>3.552</v>
      </c>
      <c r="L123" s="264">
        <v>1</v>
      </c>
      <c r="M123" s="264">
        <f t="shared" si="3"/>
        <v>3.552</v>
      </c>
      <c r="N123" s="626"/>
      <c r="O123" s="626"/>
      <c r="P123" s="619">
        <f t="shared" si="4"/>
        <v>0</v>
      </c>
      <c r="Q123" s="619"/>
      <c r="R123" s="619"/>
      <c r="S123" s="619"/>
      <c r="T123" s="6"/>
      <c r="U123" s="142"/>
    </row>
    <row r="124" spans="2:21" ht="30.75" customHeight="1" outlineLevel="1">
      <c r="B124" s="5"/>
      <c r="C124" s="261"/>
      <c r="D124" s="261"/>
      <c r="E124" s="262" t="s">
        <v>493</v>
      </c>
      <c r="F124" s="625" t="s">
        <v>2074</v>
      </c>
      <c r="G124" s="625"/>
      <c r="H124" s="625"/>
      <c r="I124" s="625"/>
      <c r="J124" s="263" t="s">
        <v>65</v>
      </c>
      <c r="K124" s="264">
        <f aca="true" t="shared" si="8" ref="K124">6.16*3</f>
        <v>18.48</v>
      </c>
      <c r="L124" s="264">
        <v>1</v>
      </c>
      <c r="M124" s="264">
        <f t="shared" si="3"/>
        <v>18.48</v>
      </c>
      <c r="N124" s="626"/>
      <c r="O124" s="626"/>
      <c r="P124" s="619">
        <f t="shared" si="4"/>
        <v>0</v>
      </c>
      <c r="Q124" s="619"/>
      <c r="R124" s="619"/>
      <c r="S124" s="619"/>
      <c r="T124" s="6"/>
      <c r="U124" s="142"/>
    </row>
    <row r="125" spans="2:21" ht="13.5" outlineLevel="1">
      <c r="B125" s="5"/>
      <c r="C125" s="396"/>
      <c r="D125" s="396"/>
      <c r="E125" s="682" t="s">
        <v>2078</v>
      </c>
      <c r="F125" s="683"/>
      <c r="G125" s="683"/>
      <c r="H125" s="683"/>
      <c r="I125" s="684"/>
      <c r="J125" s="397"/>
      <c r="K125" s="398"/>
      <c r="L125" s="398"/>
      <c r="M125" s="398"/>
      <c r="N125" s="685"/>
      <c r="O125" s="685"/>
      <c r="P125" s="681"/>
      <c r="Q125" s="681"/>
      <c r="R125" s="681"/>
      <c r="S125" s="681"/>
      <c r="T125" s="6"/>
      <c r="U125" s="142"/>
    </row>
    <row r="126" spans="2:21" ht="13.5" outlineLevel="1">
      <c r="B126" s="5"/>
      <c r="C126" s="261"/>
      <c r="D126" s="261"/>
      <c r="E126" s="262" t="s">
        <v>2059</v>
      </c>
      <c r="F126" s="625" t="s">
        <v>2085</v>
      </c>
      <c r="G126" s="625"/>
      <c r="H126" s="625"/>
      <c r="I126" s="625"/>
      <c r="J126" s="263" t="s">
        <v>65</v>
      </c>
      <c r="K126" s="264">
        <f>2.96*2.45</f>
        <v>7.252000000000001</v>
      </c>
      <c r="L126" s="264">
        <v>2</v>
      </c>
      <c r="M126" s="264">
        <f t="shared" si="3"/>
        <v>14.504000000000001</v>
      </c>
      <c r="N126" s="626"/>
      <c r="O126" s="626"/>
      <c r="P126" s="619">
        <f t="shared" si="4"/>
        <v>0</v>
      </c>
      <c r="Q126" s="619"/>
      <c r="R126" s="619"/>
      <c r="S126" s="619"/>
      <c r="T126" s="6"/>
      <c r="U126" s="142"/>
    </row>
    <row r="127" spans="2:21" ht="13.5" outlineLevel="1">
      <c r="B127" s="5"/>
      <c r="C127" s="261"/>
      <c r="D127" s="261"/>
      <c r="E127" s="262" t="s">
        <v>2060</v>
      </c>
      <c r="F127" s="625" t="s">
        <v>2086</v>
      </c>
      <c r="G127" s="625"/>
      <c r="H127" s="625"/>
      <c r="I127" s="625"/>
      <c r="J127" s="263" t="s">
        <v>65</v>
      </c>
      <c r="K127" s="264">
        <f>2.15*2</f>
        <v>4.3</v>
      </c>
      <c r="L127" s="264">
        <v>1</v>
      </c>
      <c r="M127" s="264">
        <f t="shared" si="3"/>
        <v>4.3</v>
      </c>
      <c r="N127" s="626"/>
      <c r="O127" s="626"/>
      <c r="P127" s="619">
        <f t="shared" si="4"/>
        <v>0</v>
      </c>
      <c r="Q127" s="619"/>
      <c r="R127" s="619"/>
      <c r="S127" s="619"/>
      <c r="T127" s="6"/>
      <c r="U127" s="142"/>
    </row>
    <row r="128" spans="2:21" ht="13.5" outlineLevel="1">
      <c r="B128" s="5"/>
      <c r="C128" s="261"/>
      <c r="D128" s="261"/>
      <c r="E128" s="262" t="s">
        <v>2061</v>
      </c>
      <c r="F128" s="625" t="s">
        <v>2087</v>
      </c>
      <c r="G128" s="625"/>
      <c r="H128" s="625"/>
      <c r="I128" s="625"/>
      <c r="J128" s="263" t="s">
        <v>65</v>
      </c>
      <c r="K128" s="264">
        <f>2.1*2</f>
        <v>4.2</v>
      </c>
      <c r="L128" s="264">
        <v>1</v>
      </c>
      <c r="M128" s="264">
        <f t="shared" si="3"/>
        <v>4.2</v>
      </c>
      <c r="N128" s="626"/>
      <c r="O128" s="626"/>
      <c r="P128" s="619">
        <f t="shared" si="4"/>
        <v>0</v>
      </c>
      <c r="Q128" s="619"/>
      <c r="R128" s="619"/>
      <c r="S128" s="619"/>
      <c r="T128" s="6"/>
      <c r="U128" s="142"/>
    </row>
    <row r="129" spans="2:21" ht="13.5" outlineLevel="1">
      <c r="B129" s="5"/>
      <c r="C129" s="261"/>
      <c r="D129" s="261"/>
      <c r="E129" s="262" t="s">
        <v>2062</v>
      </c>
      <c r="F129" s="625" t="s">
        <v>2088</v>
      </c>
      <c r="G129" s="625"/>
      <c r="H129" s="625"/>
      <c r="I129" s="625"/>
      <c r="J129" s="263" t="s">
        <v>65</v>
      </c>
      <c r="K129" s="264">
        <f>1.58*2</f>
        <v>3.16</v>
      </c>
      <c r="L129" s="264">
        <v>1</v>
      </c>
      <c r="M129" s="264">
        <f t="shared" si="3"/>
        <v>3.16</v>
      </c>
      <c r="N129" s="626"/>
      <c r="O129" s="626"/>
      <c r="P129" s="619">
        <f t="shared" si="4"/>
        <v>0</v>
      </c>
      <c r="Q129" s="619"/>
      <c r="R129" s="619"/>
      <c r="S129" s="619"/>
      <c r="T129" s="6"/>
      <c r="U129" s="142"/>
    </row>
    <row r="130" spans="2:21" ht="13.5" outlineLevel="1">
      <c r="B130" s="5"/>
      <c r="C130" s="261"/>
      <c r="D130" s="261"/>
      <c r="E130" s="262" t="s">
        <v>2063</v>
      </c>
      <c r="F130" s="625" t="s">
        <v>2089</v>
      </c>
      <c r="G130" s="625"/>
      <c r="H130" s="625"/>
      <c r="I130" s="625"/>
      <c r="J130" s="263" t="s">
        <v>65</v>
      </c>
      <c r="K130" s="264">
        <f>2.85*2</f>
        <v>5.7</v>
      </c>
      <c r="L130" s="264">
        <v>1</v>
      </c>
      <c r="M130" s="264">
        <f t="shared" si="3"/>
        <v>5.7</v>
      </c>
      <c r="N130" s="626"/>
      <c r="O130" s="626"/>
      <c r="P130" s="619">
        <f t="shared" si="4"/>
        <v>0</v>
      </c>
      <c r="Q130" s="619"/>
      <c r="R130" s="619"/>
      <c r="S130" s="619"/>
      <c r="T130" s="6"/>
      <c r="U130" s="142"/>
    </row>
    <row r="131" spans="2:21" ht="13.5" outlineLevel="1">
      <c r="B131" s="5"/>
      <c r="C131" s="396"/>
      <c r="D131" s="396"/>
      <c r="E131" s="682" t="s">
        <v>2079</v>
      </c>
      <c r="F131" s="683"/>
      <c r="G131" s="683"/>
      <c r="H131" s="683"/>
      <c r="I131" s="684"/>
      <c r="J131" s="397"/>
      <c r="K131" s="398"/>
      <c r="L131" s="398"/>
      <c r="M131" s="398"/>
      <c r="N131" s="685"/>
      <c r="O131" s="685"/>
      <c r="P131" s="681"/>
      <c r="Q131" s="681"/>
      <c r="R131" s="681"/>
      <c r="S131" s="681"/>
      <c r="T131" s="6"/>
      <c r="U131" s="142"/>
    </row>
    <row r="132" spans="2:21" ht="30.75" customHeight="1" outlineLevel="1">
      <c r="B132" s="5"/>
      <c r="C132" s="261"/>
      <c r="D132" s="261"/>
      <c r="E132" s="262" t="s">
        <v>2064</v>
      </c>
      <c r="F132" s="625" t="s">
        <v>2090</v>
      </c>
      <c r="G132" s="625"/>
      <c r="H132" s="625"/>
      <c r="I132" s="625"/>
      <c r="J132" s="263" t="s">
        <v>65</v>
      </c>
      <c r="K132" s="264">
        <f>1*1.37</f>
        <v>1.37</v>
      </c>
      <c r="L132" s="264">
        <v>4</v>
      </c>
      <c r="M132" s="264">
        <f t="shared" si="3"/>
        <v>5.48</v>
      </c>
      <c r="N132" s="626"/>
      <c r="O132" s="626"/>
      <c r="P132" s="619">
        <f t="shared" si="1"/>
        <v>0</v>
      </c>
      <c r="Q132" s="619"/>
      <c r="R132" s="619"/>
      <c r="S132" s="619"/>
      <c r="T132" s="6"/>
      <c r="U132" s="142"/>
    </row>
    <row r="133" spans="2:21" ht="30.75" customHeight="1" outlineLevel="1">
      <c r="B133" s="5"/>
      <c r="C133" s="261"/>
      <c r="D133" s="261"/>
      <c r="E133" s="262" t="s">
        <v>2065</v>
      </c>
      <c r="F133" s="625" t="s">
        <v>2091</v>
      </c>
      <c r="G133" s="625"/>
      <c r="H133" s="625"/>
      <c r="I133" s="625"/>
      <c r="J133" s="263" t="s">
        <v>65</v>
      </c>
      <c r="K133" s="264">
        <f>1.06*1.55</f>
        <v>1.6430000000000002</v>
      </c>
      <c r="L133" s="264">
        <v>2</v>
      </c>
      <c r="M133" s="264">
        <f t="shared" si="3"/>
        <v>3.2860000000000005</v>
      </c>
      <c r="N133" s="626"/>
      <c r="O133" s="626"/>
      <c r="P133" s="619">
        <f t="shared" si="1"/>
        <v>0</v>
      </c>
      <c r="Q133" s="619"/>
      <c r="R133" s="619"/>
      <c r="S133" s="619"/>
      <c r="T133" s="6"/>
      <c r="U133" s="142"/>
    </row>
    <row r="134" spans="2:21" ht="30.75" customHeight="1" outlineLevel="1">
      <c r="B134" s="5"/>
      <c r="C134" s="261"/>
      <c r="D134" s="261"/>
      <c r="E134" s="262" t="s">
        <v>2066</v>
      </c>
      <c r="F134" s="625" t="s">
        <v>2092</v>
      </c>
      <c r="G134" s="625"/>
      <c r="H134" s="625"/>
      <c r="I134" s="625"/>
      <c r="J134" s="263" t="s">
        <v>65</v>
      </c>
      <c r="K134" s="264">
        <f>1.02*1.26</f>
        <v>1.2852000000000001</v>
      </c>
      <c r="L134" s="264">
        <v>2</v>
      </c>
      <c r="M134" s="264">
        <f t="shared" si="3"/>
        <v>2.5704000000000002</v>
      </c>
      <c r="N134" s="626"/>
      <c r="O134" s="626"/>
      <c r="P134" s="619">
        <f t="shared" si="1"/>
        <v>0</v>
      </c>
      <c r="Q134" s="619"/>
      <c r="R134" s="619"/>
      <c r="S134" s="619"/>
      <c r="T134" s="6"/>
      <c r="U134" s="142"/>
    </row>
    <row r="135" spans="2:21" ht="30.75" customHeight="1" outlineLevel="1">
      <c r="B135" s="5"/>
      <c r="C135" s="261"/>
      <c r="D135" s="261"/>
      <c r="E135" s="262" t="s">
        <v>2067</v>
      </c>
      <c r="F135" s="625" t="s">
        <v>2093</v>
      </c>
      <c r="G135" s="625"/>
      <c r="H135" s="625"/>
      <c r="I135" s="625"/>
      <c r="J135" s="263" t="s">
        <v>65</v>
      </c>
      <c r="K135" s="264">
        <f>1.02*1.49</f>
        <v>1.5198</v>
      </c>
      <c r="L135" s="264">
        <v>2</v>
      </c>
      <c r="M135" s="264">
        <f t="shared" si="3"/>
        <v>3.0396</v>
      </c>
      <c r="N135" s="626"/>
      <c r="O135" s="626"/>
      <c r="P135" s="619">
        <f t="shared" si="1"/>
        <v>0</v>
      </c>
      <c r="Q135" s="619"/>
      <c r="R135" s="619"/>
      <c r="S135" s="619"/>
      <c r="T135" s="6"/>
      <c r="U135" s="142"/>
    </row>
    <row r="136" spans="2:21" ht="13.5" outlineLevel="1">
      <c r="B136" s="5"/>
      <c r="C136" s="396"/>
      <c r="D136" s="396"/>
      <c r="E136" s="682" t="s">
        <v>2094</v>
      </c>
      <c r="F136" s="683"/>
      <c r="G136" s="683"/>
      <c r="H136" s="683"/>
      <c r="I136" s="684"/>
      <c r="J136" s="397"/>
      <c r="K136" s="398"/>
      <c r="L136" s="398"/>
      <c r="M136" s="398"/>
      <c r="N136" s="685"/>
      <c r="O136" s="685"/>
      <c r="P136" s="681"/>
      <c r="Q136" s="681"/>
      <c r="R136" s="681"/>
      <c r="S136" s="681"/>
      <c r="T136" s="6"/>
      <c r="U136" s="142"/>
    </row>
    <row r="137" spans="2:21" ht="30.75" customHeight="1" outlineLevel="1">
      <c r="B137" s="5"/>
      <c r="C137" s="261"/>
      <c r="D137" s="261"/>
      <c r="E137" s="262" t="s">
        <v>2068</v>
      </c>
      <c r="F137" s="625" t="s">
        <v>2095</v>
      </c>
      <c r="G137" s="625"/>
      <c r="H137" s="625"/>
      <c r="I137" s="625"/>
      <c r="J137" s="263" t="s">
        <v>65</v>
      </c>
      <c r="K137" s="264">
        <f>0.7*0.45</f>
        <v>0.315</v>
      </c>
      <c r="L137" s="264">
        <v>2</v>
      </c>
      <c r="M137" s="264">
        <f aca="true" t="shared" si="9" ref="M137:M147">K137*L137</f>
        <v>0.63</v>
      </c>
      <c r="N137" s="626"/>
      <c r="O137" s="626"/>
      <c r="P137" s="619">
        <f aca="true" t="shared" si="10" ref="P137:P147">ROUND(N137*M137,2)</f>
        <v>0</v>
      </c>
      <c r="Q137" s="619"/>
      <c r="R137" s="619"/>
      <c r="S137" s="619"/>
      <c r="T137" s="6"/>
      <c r="U137" s="142"/>
    </row>
    <row r="138" spans="2:21" ht="30.75" customHeight="1" outlineLevel="1">
      <c r="B138" s="5"/>
      <c r="C138" s="261"/>
      <c r="D138" s="261"/>
      <c r="E138" s="262" t="s">
        <v>2080</v>
      </c>
      <c r="F138" s="625" t="s">
        <v>2096</v>
      </c>
      <c r="G138" s="625"/>
      <c r="H138" s="625"/>
      <c r="I138" s="625"/>
      <c r="J138" s="263" t="s">
        <v>65</v>
      </c>
      <c r="K138" s="264">
        <f>1.02*1.68+1.18*1.86</f>
        <v>3.9084</v>
      </c>
      <c r="L138" s="264">
        <v>5</v>
      </c>
      <c r="M138" s="264">
        <f t="shared" si="9"/>
        <v>19.541999999999998</v>
      </c>
      <c r="N138" s="626"/>
      <c r="O138" s="626"/>
      <c r="P138" s="619">
        <f t="shared" si="10"/>
        <v>0</v>
      </c>
      <c r="Q138" s="619"/>
      <c r="R138" s="619"/>
      <c r="S138" s="619"/>
      <c r="T138" s="6"/>
      <c r="U138" s="142"/>
    </row>
    <row r="139" spans="2:21" ht="30.75" customHeight="1" outlineLevel="1">
      <c r="B139" s="5"/>
      <c r="C139" s="261"/>
      <c r="D139" s="261"/>
      <c r="E139" s="262" t="s">
        <v>2081</v>
      </c>
      <c r="F139" s="625" t="s">
        <v>2097</v>
      </c>
      <c r="G139" s="625"/>
      <c r="H139" s="625"/>
      <c r="I139" s="625"/>
      <c r="J139" s="263" t="s">
        <v>65</v>
      </c>
      <c r="K139" s="264">
        <f>0.52*1.68+0.68*1.86</f>
        <v>2.1384000000000003</v>
      </c>
      <c r="L139" s="264">
        <v>2</v>
      </c>
      <c r="M139" s="264">
        <f t="shared" si="9"/>
        <v>4.276800000000001</v>
      </c>
      <c r="N139" s="626"/>
      <c r="O139" s="626"/>
      <c r="P139" s="619">
        <f t="shared" si="10"/>
        <v>0</v>
      </c>
      <c r="Q139" s="619"/>
      <c r="R139" s="619"/>
      <c r="S139" s="619"/>
      <c r="T139" s="6"/>
      <c r="U139" s="142"/>
    </row>
    <row r="140" spans="2:21" ht="30.75" customHeight="1" outlineLevel="1">
      <c r="B140" s="5"/>
      <c r="C140" s="261"/>
      <c r="D140" s="261"/>
      <c r="E140" s="262" t="s">
        <v>2082</v>
      </c>
      <c r="F140" s="625" t="s">
        <v>2102</v>
      </c>
      <c r="G140" s="625"/>
      <c r="H140" s="625"/>
      <c r="I140" s="625"/>
      <c r="J140" s="263" t="s">
        <v>65</v>
      </c>
      <c r="K140" s="264">
        <f>1.125*1.745*2</f>
        <v>3.9262500000000005</v>
      </c>
      <c r="L140" s="264">
        <v>1</v>
      </c>
      <c r="M140" s="264">
        <f t="shared" si="9"/>
        <v>3.9262500000000005</v>
      </c>
      <c r="N140" s="626"/>
      <c r="O140" s="626"/>
      <c r="P140" s="619">
        <f t="shared" si="10"/>
        <v>0</v>
      </c>
      <c r="Q140" s="619"/>
      <c r="R140" s="619"/>
      <c r="S140" s="619"/>
      <c r="T140" s="6"/>
      <c r="U140" s="142"/>
    </row>
    <row r="141" spans="2:21" ht="30.75" customHeight="1" outlineLevel="1">
      <c r="B141" s="5"/>
      <c r="C141" s="261"/>
      <c r="D141" s="261"/>
      <c r="E141" s="262" t="s">
        <v>2098</v>
      </c>
      <c r="F141" s="625" t="s">
        <v>2103</v>
      </c>
      <c r="G141" s="625"/>
      <c r="H141" s="625"/>
      <c r="I141" s="625"/>
      <c r="J141" s="263" t="s">
        <v>65</v>
      </c>
      <c r="K141" s="264">
        <f>1.125*1.745</f>
        <v>1.9631250000000002</v>
      </c>
      <c r="L141" s="264">
        <v>2</v>
      </c>
      <c r="M141" s="264">
        <f t="shared" si="9"/>
        <v>3.9262500000000005</v>
      </c>
      <c r="N141" s="626"/>
      <c r="O141" s="626"/>
      <c r="P141" s="619">
        <f t="shared" si="10"/>
        <v>0</v>
      </c>
      <c r="Q141" s="619"/>
      <c r="R141" s="619"/>
      <c r="S141" s="619"/>
      <c r="T141" s="6"/>
      <c r="U141" s="142"/>
    </row>
    <row r="142" spans="2:21" ht="30.75" customHeight="1" outlineLevel="1">
      <c r="B142" s="5"/>
      <c r="C142" s="261"/>
      <c r="D142" s="261"/>
      <c r="E142" s="262" t="s">
        <v>2099</v>
      </c>
      <c r="F142" s="625" t="s">
        <v>2105</v>
      </c>
      <c r="G142" s="625"/>
      <c r="H142" s="625"/>
      <c r="I142" s="625"/>
      <c r="J142" s="263" t="s">
        <v>65</v>
      </c>
      <c r="K142" s="264">
        <f>1.125*1.745</f>
        <v>1.9631250000000002</v>
      </c>
      <c r="L142" s="264">
        <v>2</v>
      </c>
      <c r="M142" s="264">
        <f aca="true" t="shared" si="11" ref="M142:M143">K142*L142</f>
        <v>3.9262500000000005</v>
      </c>
      <c r="N142" s="626"/>
      <c r="O142" s="626"/>
      <c r="P142" s="619">
        <f aca="true" t="shared" si="12" ref="P142:P143">ROUND(N142*M142,2)</f>
        <v>0</v>
      </c>
      <c r="Q142" s="619"/>
      <c r="R142" s="619"/>
      <c r="S142" s="619"/>
      <c r="T142" s="6"/>
      <c r="U142" s="142"/>
    </row>
    <row r="143" spans="2:21" ht="30.75" customHeight="1" outlineLevel="1">
      <c r="B143" s="5"/>
      <c r="C143" s="261"/>
      <c r="D143" s="261"/>
      <c r="E143" s="262" t="s">
        <v>2100</v>
      </c>
      <c r="F143" s="625" t="s">
        <v>2104</v>
      </c>
      <c r="G143" s="625"/>
      <c r="H143" s="625"/>
      <c r="I143" s="625"/>
      <c r="J143" s="263" t="s">
        <v>65</v>
      </c>
      <c r="K143" s="264">
        <f>1.05*1.675</f>
        <v>1.75875</v>
      </c>
      <c r="L143" s="264">
        <v>3</v>
      </c>
      <c r="M143" s="264">
        <f t="shared" si="11"/>
        <v>5.27625</v>
      </c>
      <c r="N143" s="626"/>
      <c r="O143" s="626"/>
      <c r="P143" s="619">
        <f t="shared" si="12"/>
        <v>0</v>
      </c>
      <c r="Q143" s="619"/>
      <c r="R143" s="619"/>
      <c r="S143" s="619"/>
      <c r="T143" s="6"/>
      <c r="U143" s="142"/>
    </row>
    <row r="144" spans="2:21" ht="30.75" customHeight="1" outlineLevel="1">
      <c r="B144" s="5"/>
      <c r="C144" s="261"/>
      <c r="D144" s="261"/>
      <c r="E144" s="262" t="s">
        <v>2101</v>
      </c>
      <c r="F144" s="625" t="s">
        <v>2106</v>
      </c>
      <c r="G144" s="625"/>
      <c r="H144" s="625"/>
      <c r="I144" s="625"/>
      <c r="J144" s="263" t="s">
        <v>65</v>
      </c>
      <c r="K144" s="264">
        <f>1.05*1.675</f>
        <v>1.75875</v>
      </c>
      <c r="L144" s="264">
        <v>3</v>
      </c>
      <c r="M144" s="264">
        <f aca="true" t="shared" si="13" ref="M144">K144*L144</f>
        <v>5.27625</v>
      </c>
      <c r="N144" s="626"/>
      <c r="O144" s="626"/>
      <c r="P144" s="619">
        <f aca="true" t="shared" si="14" ref="P144">ROUND(N144*M144,2)</f>
        <v>0</v>
      </c>
      <c r="Q144" s="619"/>
      <c r="R144" s="619"/>
      <c r="S144" s="619"/>
      <c r="T144" s="6"/>
      <c r="U144" s="142"/>
    </row>
    <row r="145" spans="2:21" ht="13.5" outlineLevel="1">
      <c r="B145" s="5"/>
      <c r="C145" s="396"/>
      <c r="D145" s="396"/>
      <c r="E145" s="682" t="s">
        <v>2107</v>
      </c>
      <c r="F145" s="683"/>
      <c r="G145" s="683"/>
      <c r="H145" s="683"/>
      <c r="I145" s="684"/>
      <c r="J145" s="397"/>
      <c r="K145" s="398"/>
      <c r="L145" s="398"/>
      <c r="M145" s="398"/>
      <c r="N145" s="685"/>
      <c r="O145" s="685"/>
      <c r="P145" s="681"/>
      <c r="Q145" s="681"/>
      <c r="R145" s="681"/>
      <c r="S145" s="681"/>
      <c r="T145" s="6"/>
      <c r="U145" s="142"/>
    </row>
    <row r="146" spans="2:21" ht="13.5" outlineLevel="1">
      <c r="B146" s="5"/>
      <c r="C146" s="261"/>
      <c r="D146" s="261"/>
      <c r="E146" s="262" t="s">
        <v>2083</v>
      </c>
      <c r="F146" s="625" t="s">
        <v>2108</v>
      </c>
      <c r="G146" s="625"/>
      <c r="H146" s="625"/>
      <c r="I146" s="625"/>
      <c r="J146" s="263" t="s">
        <v>65</v>
      </c>
      <c r="K146" s="264">
        <f>0.7*0.7</f>
        <v>0.48999999999999994</v>
      </c>
      <c r="L146" s="264">
        <v>6</v>
      </c>
      <c r="M146" s="264">
        <f t="shared" si="9"/>
        <v>2.9399999999999995</v>
      </c>
      <c r="N146" s="626"/>
      <c r="O146" s="626"/>
      <c r="P146" s="619">
        <f t="shared" si="10"/>
        <v>0</v>
      </c>
      <c r="Q146" s="619"/>
      <c r="R146" s="619"/>
      <c r="S146" s="619"/>
      <c r="T146" s="6"/>
      <c r="U146" s="142"/>
    </row>
    <row r="147" spans="2:21" ht="13.5" outlineLevel="1">
      <c r="B147" s="5"/>
      <c r="C147" s="261"/>
      <c r="D147" s="261"/>
      <c r="E147" s="262" t="s">
        <v>2084</v>
      </c>
      <c r="F147" s="625" t="s">
        <v>2109</v>
      </c>
      <c r="G147" s="625"/>
      <c r="H147" s="625"/>
      <c r="I147" s="625"/>
      <c r="J147" s="263" t="s">
        <v>65</v>
      </c>
      <c r="K147" s="264">
        <f>0.76*0.8</f>
        <v>0.6080000000000001</v>
      </c>
      <c r="L147" s="264">
        <v>1</v>
      </c>
      <c r="M147" s="264">
        <f t="shared" si="9"/>
        <v>0.6080000000000001</v>
      </c>
      <c r="N147" s="626"/>
      <c r="O147" s="626"/>
      <c r="P147" s="619">
        <f t="shared" si="10"/>
        <v>0</v>
      </c>
      <c r="Q147" s="619"/>
      <c r="R147" s="619"/>
      <c r="S147" s="619"/>
      <c r="T147" s="6"/>
      <c r="U147" s="142"/>
    </row>
    <row r="148" spans="2:21" s="143" customFormat="1" ht="12.75">
      <c r="B148" s="139"/>
      <c r="C148" s="258"/>
      <c r="D148" s="140" t="s">
        <v>2110</v>
      </c>
      <c r="E148" s="259"/>
      <c r="F148" s="140"/>
      <c r="G148" s="140"/>
      <c r="H148" s="140"/>
      <c r="I148" s="140"/>
      <c r="J148" s="140"/>
      <c r="K148" s="399" t="s">
        <v>2113</v>
      </c>
      <c r="L148" s="399" t="s">
        <v>2112</v>
      </c>
      <c r="M148" s="399" t="s">
        <v>2114</v>
      </c>
      <c r="N148" s="186"/>
      <c r="O148" s="186"/>
      <c r="P148" s="633">
        <f>SUM(P150:S173)</f>
        <v>0</v>
      </c>
      <c r="Q148" s="633"/>
      <c r="R148" s="633"/>
      <c r="S148" s="633"/>
      <c r="T148" s="141"/>
      <c r="U148" s="142"/>
    </row>
    <row r="149" spans="2:21" ht="13.5" outlineLevel="1">
      <c r="B149" s="5"/>
      <c r="C149" s="396"/>
      <c r="D149" s="396"/>
      <c r="E149" s="682" t="s">
        <v>2136</v>
      </c>
      <c r="F149" s="683"/>
      <c r="G149" s="683"/>
      <c r="H149" s="683"/>
      <c r="I149" s="684"/>
      <c r="J149" s="397"/>
      <c r="K149" s="398"/>
      <c r="L149" s="398"/>
      <c r="M149" s="398"/>
      <c r="N149" s="685"/>
      <c r="O149" s="685"/>
      <c r="P149" s="681"/>
      <c r="Q149" s="681"/>
      <c r="R149" s="681"/>
      <c r="S149" s="681"/>
      <c r="T149" s="6"/>
      <c r="U149" s="142"/>
    </row>
    <row r="150" spans="2:21" ht="30.75" customHeight="1" outlineLevel="1">
      <c r="B150" s="5"/>
      <c r="C150" s="261"/>
      <c r="D150" s="261"/>
      <c r="E150" s="262" t="s">
        <v>494</v>
      </c>
      <c r="F150" s="625" t="s">
        <v>2111</v>
      </c>
      <c r="G150" s="625"/>
      <c r="H150" s="625"/>
      <c r="I150" s="625"/>
      <c r="J150" s="263" t="s">
        <v>69</v>
      </c>
      <c r="K150" s="264"/>
      <c r="L150" s="264">
        <v>1</v>
      </c>
      <c r="M150" s="264">
        <f>SUM(K150:L150)</f>
        <v>1</v>
      </c>
      <c r="N150" s="626"/>
      <c r="O150" s="626"/>
      <c r="P150" s="619">
        <f>ROUND(N150*M150,2)</f>
        <v>0</v>
      </c>
      <c r="Q150" s="619"/>
      <c r="R150" s="619"/>
      <c r="S150" s="619"/>
      <c r="T150" s="6"/>
      <c r="U150" s="142"/>
    </row>
    <row r="151" spans="2:21" ht="13.5" outlineLevel="1">
      <c r="B151" s="5"/>
      <c r="C151" s="261"/>
      <c r="D151" s="261"/>
      <c r="E151" s="262" t="s">
        <v>495</v>
      </c>
      <c r="F151" s="625" t="s">
        <v>2115</v>
      </c>
      <c r="G151" s="625"/>
      <c r="H151" s="625"/>
      <c r="I151" s="625"/>
      <c r="J151" s="263" t="s">
        <v>69</v>
      </c>
      <c r="K151" s="264">
        <v>2</v>
      </c>
      <c r="L151" s="264">
        <v>6</v>
      </c>
      <c r="M151" s="264">
        <f aca="true" t="shared" si="15" ref="M151:M165">SUM(K151:L151)</f>
        <v>8</v>
      </c>
      <c r="N151" s="626"/>
      <c r="O151" s="626"/>
      <c r="P151" s="619">
        <f>ROUND(N151*M151,2)</f>
        <v>0</v>
      </c>
      <c r="Q151" s="619"/>
      <c r="R151" s="619"/>
      <c r="S151" s="619"/>
      <c r="T151" s="6"/>
      <c r="U151" s="142"/>
    </row>
    <row r="152" spans="2:21" ht="30.75" customHeight="1" outlineLevel="1">
      <c r="B152" s="5"/>
      <c r="C152" s="261"/>
      <c r="D152" s="261"/>
      <c r="E152" s="262" t="s">
        <v>496</v>
      </c>
      <c r="F152" s="625" t="s">
        <v>2116</v>
      </c>
      <c r="G152" s="625"/>
      <c r="H152" s="625"/>
      <c r="I152" s="625"/>
      <c r="J152" s="263" t="s">
        <v>69</v>
      </c>
      <c r="K152" s="264">
        <v>1</v>
      </c>
      <c r="L152" s="264">
        <v>1</v>
      </c>
      <c r="M152" s="264">
        <f t="shared" si="15"/>
        <v>2</v>
      </c>
      <c r="N152" s="626"/>
      <c r="O152" s="626"/>
      <c r="P152" s="619">
        <f>ROUND(N152*M152,2)</f>
        <v>0</v>
      </c>
      <c r="Q152" s="619"/>
      <c r="R152" s="619"/>
      <c r="S152" s="619"/>
      <c r="T152" s="6"/>
      <c r="U152" s="142"/>
    </row>
    <row r="153" spans="2:21" ht="30.75" customHeight="1" outlineLevel="1">
      <c r="B153" s="5"/>
      <c r="C153" s="261"/>
      <c r="D153" s="261"/>
      <c r="E153" s="262" t="s">
        <v>497</v>
      </c>
      <c r="F153" s="625" t="s">
        <v>2117</v>
      </c>
      <c r="G153" s="625"/>
      <c r="H153" s="625"/>
      <c r="I153" s="625"/>
      <c r="J153" s="263" t="s">
        <v>69</v>
      </c>
      <c r="K153" s="264"/>
      <c r="L153" s="264">
        <v>1</v>
      </c>
      <c r="M153" s="264">
        <f t="shared" si="15"/>
        <v>1</v>
      </c>
      <c r="N153" s="626"/>
      <c r="O153" s="626"/>
      <c r="P153" s="619">
        <f>ROUND(N153*M153,2)</f>
        <v>0</v>
      </c>
      <c r="Q153" s="619"/>
      <c r="R153" s="619"/>
      <c r="S153" s="619"/>
      <c r="T153" s="6"/>
      <c r="U153" s="142"/>
    </row>
    <row r="154" spans="2:21" ht="30.75" customHeight="1" outlineLevel="1">
      <c r="B154" s="5"/>
      <c r="C154" s="261"/>
      <c r="D154" s="261"/>
      <c r="E154" s="262" t="s">
        <v>498</v>
      </c>
      <c r="F154" s="625" t="s">
        <v>2118</v>
      </c>
      <c r="G154" s="625"/>
      <c r="H154" s="625"/>
      <c r="I154" s="625"/>
      <c r="J154" s="263" t="s">
        <v>69</v>
      </c>
      <c r="K154" s="264"/>
      <c r="L154" s="264">
        <v>1</v>
      </c>
      <c r="M154" s="264">
        <f t="shared" si="15"/>
        <v>1</v>
      </c>
      <c r="N154" s="626"/>
      <c r="O154" s="626"/>
      <c r="P154" s="619">
        <f aca="true" t="shared" si="16" ref="P154:P173">ROUND(N154*M154,2)</f>
        <v>0</v>
      </c>
      <c r="Q154" s="619"/>
      <c r="R154" s="619"/>
      <c r="S154" s="619"/>
      <c r="T154" s="6"/>
      <c r="U154" s="142"/>
    </row>
    <row r="155" spans="2:21" ht="30.75" customHeight="1" outlineLevel="1">
      <c r="B155" s="5"/>
      <c r="C155" s="261"/>
      <c r="D155" s="261"/>
      <c r="E155" s="262" t="s">
        <v>2119</v>
      </c>
      <c r="F155" s="625" t="s">
        <v>2132</v>
      </c>
      <c r="G155" s="625"/>
      <c r="H155" s="625"/>
      <c r="I155" s="625"/>
      <c r="J155" s="263" t="s">
        <v>69</v>
      </c>
      <c r="K155" s="264">
        <v>1</v>
      </c>
      <c r="L155" s="264"/>
      <c r="M155" s="264">
        <f aca="true" t="shared" si="17" ref="M155">SUM(K155:L155)</f>
        <v>1</v>
      </c>
      <c r="N155" s="626"/>
      <c r="O155" s="626"/>
      <c r="P155" s="619">
        <f t="shared" si="16"/>
        <v>0</v>
      </c>
      <c r="Q155" s="619"/>
      <c r="R155" s="619"/>
      <c r="S155" s="619"/>
      <c r="T155" s="6"/>
      <c r="U155" s="142"/>
    </row>
    <row r="156" spans="2:21" ht="30.75" customHeight="1" outlineLevel="1">
      <c r="B156" s="5"/>
      <c r="C156" s="261"/>
      <c r="D156" s="261"/>
      <c r="E156" s="262" t="s">
        <v>2120</v>
      </c>
      <c r="F156" s="625" t="s">
        <v>2133</v>
      </c>
      <c r="G156" s="625"/>
      <c r="H156" s="625"/>
      <c r="I156" s="625"/>
      <c r="J156" s="263" t="s">
        <v>69</v>
      </c>
      <c r="K156" s="264">
        <v>1</v>
      </c>
      <c r="L156" s="264">
        <v>1</v>
      </c>
      <c r="M156" s="264">
        <f t="shared" si="15"/>
        <v>2</v>
      </c>
      <c r="N156" s="626"/>
      <c r="O156" s="626"/>
      <c r="P156" s="619">
        <f t="shared" si="16"/>
        <v>0</v>
      </c>
      <c r="Q156" s="619"/>
      <c r="R156" s="619"/>
      <c r="S156" s="619"/>
      <c r="T156" s="6"/>
      <c r="U156" s="142"/>
    </row>
    <row r="157" spans="2:21" ht="30.75" customHeight="1" outlineLevel="1">
      <c r="B157" s="5"/>
      <c r="C157" s="261"/>
      <c r="D157" s="261"/>
      <c r="E157" s="262" t="s">
        <v>2121</v>
      </c>
      <c r="F157" s="625" t="s">
        <v>2134</v>
      </c>
      <c r="G157" s="625"/>
      <c r="H157" s="625"/>
      <c r="I157" s="625"/>
      <c r="J157" s="263" t="s">
        <v>69</v>
      </c>
      <c r="K157" s="264">
        <v>1</v>
      </c>
      <c r="L157" s="264">
        <v>1</v>
      </c>
      <c r="M157" s="264">
        <f t="shared" si="15"/>
        <v>2</v>
      </c>
      <c r="N157" s="626"/>
      <c r="O157" s="626"/>
      <c r="P157" s="619">
        <f t="shared" si="16"/>
        <v>0</v>
      </c>
      <c r="Q157" s="619"/>
      <c r="R157" s="619"/>
      <c r="S157" s="619"/>
      <c r="T157" s="6"/>
      <c r="U157" s="142"/>
    </row>
    <row r="158" spans="2:21" ht="30.75" customHeight="1" outlineLevel="1">
      <c r="B158" s="5"/>
      <c r="C158" s="261"/>
      <c r="D158" s="261"/>
      <c r="E158" s="262" t="s">
        <v>2122</v>
      </c>
      <c r="F158" s="625" t="s">
        <v>2135</v>
      </c>
      <c r="G158" s="625"/>
      <c r="H158" s="625"/>
      <c r="I158" s="625"/>
      <c r="J158" s="263" t="s">
        <v>69</v>
      </c>
      <c r="K158" s="264"/>
      <c r="L158" s="264">
        <v>2</v>
      </c>
      <c r="M158" s="264">
        <f t="shared" si="15"/>
        <v>2</v>
      </c>
      <c r="N158" s="626"/>
      <c r="O158" s="626"/>
      <c r="P158" s="619">
        <f t="shared" si="16"/>
        <v>0</v>
      </c>
      <c r="Q158" s="619"/>
      <c r="R158" s="619"/>
      <c r="S158" s="619"/>
      <c r="T158" s="6"/>
      <c r="U158" s="142"/>
    </row>
    <row r="159" spans="2:21" ht="13.5" outlineLevel="1">
      <c r="B159" s="5"/>
      <c r="C159" s="396"/>
      <c r="D159" s="396"/>
      <c r="E159" s="682" t="s">
        <v>2137</v>
      </c>
      <c r="F159" s="683"/>
      <c r="G159" s="683"/>
      <c r="H159" s="683"/>
      <c r="I159" s="684"/>
      <c r="J159" s="397"/>
      <c r="K159" s="398"/>
      <c r="L159" s="398"/>
      <c r="M159" s="398"/>
      <c r="N159" s="685"/>
      <c r="O159" s="685"/>
      <c r="P159" s="681"/>
      <c r="Q159" s="681"/>
      <c r="R159" s="681"/>
      <c r="S159" s="681"/>
      <c r="T159" s="6"/>
      <c r="U159" s="142"/>
    </row>
    <row r="160" spans="2:21" ht="30.75" customHeight="1" outlineLevel="1">
      <c r="B160" s="5"/>
      <c r="C160" s="261"/>
      <c r="D160" s="261"/>
      <c r="E160" s="262" t="s">
        <v>2123</v>
      </c>
      <c r="F160" s="625" t="s">
        <v>2138</v>
      </c>
      <c r="G160" s="625"/>
      <c r="H160" s="625"/>
      <c r="I160" s="625"/>
      <c r="J160" s="263" t="s">
        <v>69</v>
      </c>
      <c r="K160" s="264">
        <v>1</v>
      </c>
      <c r="L160" s="264">
        <v>3</v>
      </c>
      <c r="M160" s="264">
        <f t="shared" si="15"/>
        <v>4</v>
      </c>
      <c r="N160" s="626"/>
      <c r="O160" s="626"/>
      <c r="P160" s="619">
        <f t="shared" si="16"/>
        <v>0</v>
      </c>
      <c r="Q160" s="619"/>
      <c r="R160" s="619"/>
      <c r="S160" s="619"/>
      <c r="T160" s="6"/>
      <c r="U160" s="142"/>
    </row>
    <row r="161" spans="2:21" ht="30.75" customHeight="1" outlineLevel="1">
      <c r="B161" s="5"/>
      <c r="C161" s="261"/>
      <c r="D161" s="261"/>
      <c r="E161" s="262" t="s">
        <v>2124</v>
      </c>
      <c r="F161" s="625" t="s">
        <v>2139</v>
      </c>
      <c r="G161" s="625"/>
      <c r="H161" s="625"/>
      <c r="I161" s="625"/>
      <c r="J161" s="263" t="s">
        <v>69</v>
      </c>
      <c r="K161" s="264">
        <v>1</v>
      </c>
      <c r="L161" s="264">
        <v>1</v>
      </c>
      <c r="M161" s="264">
        <f t="shared" si="15"/>
        <v>2</v>
      </c>
      <c r="N161" s="626"/>
      <c r="O161" s="626"/>
      <c r="P161" s="619">
        <f t="shared" si="16"/>
        <v>0</v>
      </c>
      <c r="Q161" s="619"/>
      <c r="R161" s="619"/>
      <c r="S161" s="619"/>
      <c r="T161" s="6"/>
      <c r="U161" s="142"/>
    </row>
    <row r="162" spans="2:21" ht="30.75" customHeight="1" outlineLevel="1">
      <c r="B162" s="5"/>
      <c r="C162" s="261"/>
      <c r="D162" s="261"/>
      <c r="E162" s="262" t="s">
        <v>2125</v>
      </c>
      <c r="F162" s="625" t="s">
        <v>2139</v>
      </c>
      <c r="G162" s="625"/>
      <c r="H162" s="625"/>
      <c r="I162" s="625"/>
      <c r="J162" s="263" t="s">
        <v>69</v>
      </c>
      <c r="K162" s="264">
        <v>1</v>
      </c>
      <c r="L162" s="264"/>
      <c r="M162" s="264">
        <f t="shared" si="15"/>
        <v>1</v>
      </c>
      <c r="N162" s="626"/>
      <c r="O162" s="626"/>
      <c r="P162" s="619">
        <f t="shared" si="16"/>
        <v>0</v>
      </c>
      <c r="Q162" s="619"/>
      <c r="R162" s="619"/>
      <c r="S162" s="619"/>
      <c r="T162" s="6"/>
      <c r="U162" s="142"/>
    </row>
    <row r="163" spans="2:21" ht="30.75" customHeight="1" outlineLevel="1">
      <c r="B163" s="5"/>
      <c r="C163" s="261"/>
      <c r="D163" s="261"/>
      <c r="E163" s="262" t="s">
        <v>2126</v>
      </c>
      <c r="F163" s="625" t="s">
        <v>2140</v>
      </c>
      <c r="G163" s="625"/>
      <c r="H163" s="625"/>
      <c r="I163" s="625"/>
      <c r="J163" s="263" t="s">
        <v>69</v>
      </c>
      <c r="K163" s="264">
        <v>1</v>
      </c>
      <c r="L163" s="264">
        <v>1</v>
      </c>
      <c r="M163" s="264">
        <f t="shared" si="15"/>
        <v>2</v>
      </c>
      <c r="N163" s="626"/>
      <c r="O163" s="626"/>
      <c r="P163" s="619">
        <f t="shared" si="16"/>
        <v>0</v>
      </c>
      <c r="Q163" s="619"/>
      <c r="R163" s="619"/>
      <c r="S163" s="619"/>
      <c r="T163" s="6"/>
      <c r="U163" s="142"/>
    </row>
    <row r="164" spans="2:21" ht="30.75" customHeight="1" outlineLevel="1">
      <c r="B164" s="5"/>
      <c r="C164" s="261"/>
      <c r="D164" s="261"/>
      <c r="E164" s="262" t="s">
        <v>2127</v>
      </c>
      <c r="F164" s="625" t="s">
        <v>2329</v>
      </c>
      <c r="G164" s="625"/>
      <c r="H164" s="625"/>
      <c r="I164" s="625"/>
      <c r="J164" s="263" t="s">
        <v>69</v>
      </c>
      <c r="K164" s="264">
        <v>1</v>
      </c>
      <c r="L164" s="264">
        <v>1</v>
      </c>
      <c r="M164" s="264">
        <f t="shared" si="15"/>
        <v>2</v>
      </c>
      <c r="N164" s="626"/>
      <c r="O164" s="626"/>
      <c r="P164" s="619">
        <f t="shared" si="16"/>
        <v>0</v>
      </c>
      <c r="Q164" s="619"/>
      <c r="R164" s="619"/>
      <c r="S164" s="619"/>
      <c r="T164" s="6"/>
      <c r="U164" s="142"/>
    </row>
    <row r="165" spans="2:21" ht="30.75" customHeight="1" outlineLevel="1">
      <c r="B165" s="5"/>
      <c r="C165" s="261"/>
      <c r="D165" s="261"/>
      <c r="E165" s="262" t="s">
        <v>2128</v>
      </c>
      <c r="F165" s="625" t="s">
        <v>2141</v>
      </c>
      <c r="G165" s="625"/>
      <c r="H165" s="625"/>
      <c r="I165" s="625"/>
      <c r="J165" s="263" t="s">
        <v>69</v>
      </c>
      <c r="K165" s="264"/>
      <c r="L165" s="264">
        <v>1</v>
      </c>
      <c r="M165" s="264">
        <f t="shared" si="15"/>
        <v>1</v>
      </c>
      <c r="N165" s="626"/>
      <c r="O165" s="626"/>
      <c r="P165" s="619">
        <f t="shared" si="16"/>
        <v>0</v>
      </c>
      <c r="Q165" s="619"/>
      <c r="R165" s="619"/>
      <c r="S165" s="619"/>
      <c r="T165" s="6"/>
      <c r="U165" s="142"/>
    </row>
    <row r="166" spans="2:21" ht="13.5" outlineLevel="1">
      <c r="B166" s="5"/>
      <c r="C166" s="396"/>
      <c r="D166" s="396"/>
      <c r="E166" s="682" t="s">
        <v>2142</v>
      </c>
      <c r="F166" s="683"/>
      <c r="G166" s="683"/>
      <c r="H166" s="683"/>
      <c r="I166" s="684"/>
      <c r="J166" s="397"/>
      <c r="K166" s="398"/>
      <c r="L166" s="398"/>
      <c r="M166" s="398"/>
      <c r="N166" s="685"/>
      <c r="O166" s="685"/>
      <c r="P166" s="681"/>
      <c r="Q166" s="681"/>
      <c r="R166" s="681"/>
      <c r="S166" s="681"/>
      <c r="T166" s="6"/>
      <c r="U166" s="142"/>
    </row>
    <row r="167" spans="2:21" ht="30.75" customHeight="1" outlineLevel="1">
      <c r="B167" s="5"/>
      <c r="C167" s="261"/>
      <c r="D167" s="261"/>
      <c r="E167" s="262" t="s">
        <v>2129</v>
      </c>
      <c r="F167" s="625" t="s">
        <v>2146</v>
      </c>
      <c r="G167" s="625"/>
      <c r="H167" s="625"/>
      <c r="I167" s="625"/>
      <c r="J167" s="263" t="s">
        <v>65</v>
      </c>
      <c r="K167" s="264">
        <f>2.4*2.31</f>
        <v>5.544</v>
      </c>
      <c r="L167" s="264">
        <v>1</v>
      </c>
      <c r="M167" s="264">
        <f aca="true" t="shared" si="18" ref="M167">K167*L167</f>
        <v>5.544</v>
      </c>
      <c r="N167" s="626"/>
      <c r="O167" s="626"/>
      <c r="P167" s="619">
        <f t="shared" si="16"/>
        <v>0</v>
      </c>
      <c r="Q167" s="619"/>
      <c r="R167" s="619"/>
      <c r="S167" s="619"/>
      <c r="T167" s="6"/>
      <c r="U167" s="142"/>
    </row>
    <row r="168" spans="2:21" ht="30.75" customHeight="1" outlineLevel="1">
      <c r="B168" s="5"/>
      <c r="C168" s="261"/>
      <c r="D168" s="261"/>
      <c r="E168" s="262" t="s">
        <v>2130</v>
      </c>
      <c r="F168" s="625" t="s">
        <v>2147</v>
      </c>
      <c r="G168" s="625"/>
      <c r="H168" s="625"/>
      <c r="I168" s="625"/>
      <c r="J168" s="263" t="s">
        <v>65</v>
      </c>
      <c r="K168" s="264">
        <f>1.4*2.8</f>
        <v>3.9199999999999995</v>
      </c>
      <c r="L168" s="264">
        <v>1</v>
      </c>
      <c r="M168" s="264">
        <f aca="true" t="shared" si="19" ref="M168:M173">K168*L168</f>
        <v>3.9199999999999995</v>
      </c>
      <c r="N168" s="626"/>
      <c r="O168" s="626"/>
      <c r="P168" s="619">
        <f t="shared" si="16"/>
        <v>0</v>
      </c>
      <c r="Q168" s="619"/>
      <c r="R168" s="619"/>
      <c r="S168" s="619"/>
      <c r="T168" s="6"/>
      <c r="U168" s="142"/>
    </row>
    <row r="169" spans="2:21" ht="13.5" outlineLevel="1">
      <c r="B169" s="5"/>
      <c r="C169" s="261"/>
      <c r="D169" s="261"/>
      <c r="E169" s="262" t="s">
        <v>2131</v>
      </c>
      <c r="F169" s="625" t="s">
        <v>2148</v>
      </c>
      <c r="G169" s="625"/>
      <c r="H169" s="625"/>
      <c r="I169" s="625"/>
      <c r="J169" s="263" t="s">
        <v>65</v>
      </c>
      <c r="K169" s="264">
        <f>1.03*2.3</f>
        <v>2.3689999999999998</v>
      </c>
      <c r="L169" s="264">
        <v>1</v>
      </c>
      <c r="M169" s="264">
        <f t="shared" si="19"/>
        <v>2.3689999999999998</v>
      </c>
      <c r="N169" s="626"/>
      <c r="O169" s="626"/>
      <c r="P169" s="619">
        <f t="shared" si="16"/>
        <v>0</v>
      </c>
      <c r="Q169" s="619"/>
      <c r="R169" s="619"/>
      <c r="S169" s="619"/>
      <c r="T169" s="6"/>
      <c r="U169" s="142"/>
    </row>
    <row r="170" spans="2:21" ht="13.5" outlineLevel="1">
      <c r="B170" s="5"/>
      <c r="C170" s="396"/>
      <c r="D170" s="396"/>
      <c r="E170" s="682" t="s">
        <v>2149</v>
      </c>
      <c r="F170" s="683"/>
      <c r="G170" s="683"/>
      <c r="H170" s="683"/>
      <c r="I170" s="684"/>
      <c r="J170" s="397"/>
      <c r="K170" s="398"/>
      <c r="L170" s="398"/>
      <c r="M170" s="398"/>
      <c r="N170" s="685"/>
      <c r="O170" s="685"/>
      <c r="P170" s="681"/>
      <c r="Q170" s="681"/>
      <c r="R170" s="681"/>
      <c r="S170" s="681"/>
      <c r="T170" s="6"/>
      <c r="U170" s="142"/>
    </row>
    <row r="171" spans="2:21" ht="13.5" outlineLevel="1">
      <c r="B171" s="5"/>
      <c r="C171" s="261"/>
      <c r="D171" s="261"/>
      <c r="E171" s="262" t="s">
        <v>2143</v>
      </c>
      <c r="F171" s="625" t="s">
        <v>2150</v>
      </c>
      <c r="G171" s="625"/>
      <c r="H171" s="625"/>
      <c r="I171" s="625"/>
      <c r="J171" s="263" t="s">
        <v>65</v>
      </c>
      <c r="K171" s="264">
        <f>1.7*2.6</f>
        <v>4.42</v>
      </c>
      <c r="L171" s="264">
        <v>2</v>
      </c>
      <c r="M171" s="264">
        <f t="shared" si="19"/>
        <v>8.84</v>
      </c>
      <c r="N171" s="626"/>
      <c r="O171" s="626"/>
      <c r="P171" s="619">
        <f t="shared" si="16"/>
        <v>0</v>
      </c>
      <c r="Q171" s="619"/>
      <c r="R171" s="619"/>
      <c r="S171" s="619"/>
      <c r="T171" s="6"/>
      <c r="U171" s="142"/>
    </row>
    <row r="172" spans="2:21" ht="30.75" customHeight="1" outlineLevel="1">
      <c r="B172" s="5"/>
      <c r="C172" s="261"/>
      <c r="D172" s="261"/>
      <c r="E172" s="262" t="s">
        <v>2144</v>
      </c>
      <c r="F172" s="625" t="s">
        <v>2151</v>
      </c>
      <c r="G172" s="625"/>
      <c r="H172" s="625"/>
      <c r="I172" s="625"/>
      <c r="J172" s="263" t="s">
        <v>65</v>
      </c>
      <c r="K172" s="264">
        <f>1.7*2.6</f>
        <v>4.42</v>
      </c>
      <c r="L172" s="264">
        <v>1</v>
      </c>
      <c r="M172" s="264">
        <f t="shared" si="19"/>
        <v>4.42</v>
      </c>
      <c r="N172" s="626"/>
      <c r="O172" s="626"/>
      <c r="P172" s="619">
        <f t="shared" si="16"/>
        <v>0</v>
      </c>
      <c r="Q172" s="619"/>
      <c r="R172" s="619"/>
      <c r="S172" s="619"/>
      <c r="T172" s="6"/>
      <c r="U172" s="142"/>
    </row>
    <row r="173" spans="2:21" ht="13.5" outlineLevel="1">
      <c r="B173" s="5"/>
      <c r="C173" s="261"/>
      <c r="D173" s="261"/>
      <c r="E173" s="262" t="s">
        <v>2145</v>
      </c>
      <c r="F173" s="625" t="s">
        <v>2152</v>
      </c>
      <c r="G173" s="625"/>
      <c r="H173" s="625"/>
      <c r="I173" s="625"/>
      <c r="J173" s="263" t="s">
        <v>65</v>
      </c>
      <c r="K173" s="264">
        <f>1.855*2.6+1.18*2.6</f>
        <v>7.891</v>
      </c>
      <c r="L173" s="264">
        <v>1</v>
      </c>
      <c r="M173" s="264">
        <f t="shared" si="19"/>
        <v>7.891</v>
      </c>
      <c r="N173" s="626"/>
      <c r="O173" s="626"/>
      <c r="P173" s="619">
        <f t="shared" si="16"/>
        <v>0</v>
      </c>
      <c r="Q173" s="619"/>
      <c r="R173" s="619"/>
      <c r="S173" s="619"/>
      <c r="T173" s="6"/>
      <c r="U173" s="142"/>
    </row>
    <row r="174" spans="2:21" s="143" customFormat="1" ht="12.75">
      <c r="B174" s="139"/>
      <c r="C174" s="258"/>
      <c r="D174" s="140" t="s">
        <v>2153</v>
      </c>
      <c r="E174" s="259"/>
      <c r="F174" s="140"/>
      <c r="G174" s="140"/>
      <c r="H174" s="140"/>
      <c r="I174" s="140"/>
      <c r="J174" s="140"/>
      <c r="K174" s="140"/>
      <c r="L174" s="140"/>
      <c r="M174" s="140"/>
      <c r="N174" s="186"/>
      <c r="O174" s="186"/>
      <c r="P174" s="633">
        <f>SUM(P175:S192)</f>
        <v>0</v>
      </c>
      <c r="Q174" s="633"/>
      <c r="R174" s="633"/>
      <c r="S174" s="633"/>
      <c r="T174" s="141"/>
      <c r="U174" s="142"/>
    </row>
    <row r="175" spans="2:21" ht="13.5" outlineLevel="1">
      <c r="B175" s="5"/>
      <c r="C175" s="261"/>
      <c r="D175" s="261"/>
      <c r="E175" s="262" t="s">
        <v>499</v>
      </c>
      <c r="F175" s="625" t="s">
        <v>2154</v>
      </c>
      <c r="G175" s="625"/>
      <c r="H175" s="625"/>
      <c r="I175" s="625"/>
      <c r="J175" s="263" t="s">
        <v>70</v>
      </c>
      <c r="K175" s="264"/>
      <c r="L175" s="264"/>
      <c r="M175" s="264">
        <v>88</v>
      </c>
      <c r="N175" s="626"/>
      <c r="O175" s="626"/>
      <c r="P175" s="619">
        <f>ROUND(N175*M175,2)</f>
        <v>0</v>
      </c>
      <c r="Q175" s="619"/>
      <c r="R175" s="619"/>
      <c r="S175" s="619"/>
      <c r="T175" s="6"/>
      <c r="U175" s="142"/>
    </row>
    <row r="176" spans="2:21" ht="34.5" customHeight="1" outlineLevel="1">
      <c r="B176" s="5"/>
      <c r="C176" s="261"/>
      <c r="D176" s="261"/>
      <c r="E176" s="262" t="s">
        <v>500</v>
      </c>
      <c r="F176" s="625" t="s">
        <v>2155</v>
      </c>
      <c r="G176" s="625"/>
      <c r="H176" s="625"/>
      <c r="I176" s="625"/>
      <c r="J176" s="263" t="s">
        <v>70</v>
      </c>
      <c r="K176" s="264"/>
      <c r="L176" s="264"/>
      <c r="M176" s="264">
        <v>38</v>
      </c>
      <c r="N176" s="626"/>
      <c r="O176" s="626"/>
      <c r="P176" s="619">
        <f>ROUND(N176*M176,2)</f>
        <v>0</v>
      </c>
      <c r="Q176" s="619"/>
      <c r="R176" s="619"/>
      <c r="S176" s="619"/>
      <c r="T176" s="6"/>
      <c r="U176" s="142"/>
    </row>
    <row r="177" spans="2:21" ht="13.5" outlineLevel="1">
      <c r="B177" s="5"/>
      <c r="C177" s="261"/>
      <c r="D177" s="261"/>
      <c r="E177" s="262" t="s">
        <v>501</v>
      </c>
      <c r="F177" s="625" t="s">
        <v>2156</v>
      </c>
      <c r="G177" s="625"/>
      <c r="H177" s="625"/>
      <c r="I177" s="625"/>
      <c r="J177" s="263" t="s">
        <v>70</v>
      </c>
      <c r="K177" s="264"/>
      <c r="L177" s="264"/>
      <c r="M177" s="264">
        <v>10</v>
      </c>
      <c r="N177" s="626"/>
      <c r="O177" s="626"/>
      <c r="P177" s="619">
        <f aca="true" t="shared" si="20" ref="P177:P188">ROUND(N177*M177,2)</f>
        <v>0</v>
      </c>
      <c r="Q177" s="619"/>
      <c r="R177" s="619"/>
      <c r="S177" s="619"/>
      <c r="T177" s="6"/>
      <c r="U177" s="142"/>
    </row>
    <row r="178" spans="2:21" ht="13.5" outlineLevel="1">
      <c r="B178" s="5"/>
      <c r="C178" s="261"/>
      <c r="D178" s="261"/>
      <c r="E178" s="262" t="s">
        <v>502</v>
      </c>
      <c r="F178" s="625" t="s">
        <v>2157</v>
      </c>
      <c r="G178" s="625"/>
      <c r="H178" s="625"/>
      <c r="I178" s="625"/>
      <c r="J178" s="263" t="s">
        <v>70</v>
      </c>
      <c r="K178" s="264"/>
      <c r="L178" s="264"/>
      <c r="M178" s="264">
        <v>7</v>
      </c>
      <c r="N178" s="626"/>
      <c r="O178" s="626"/>
      <c r="P178" s="619">
        <f t="shared" si="20"/>
        <v>0</v>
      </c>
      <c r="Q178" s="619"/>
      <c r="R178" s="619"/>
      <c r="S178" s="619"/>
      <c r="T178" s="6"/>
      <c r="U178" s="142"/>
    </row>
    <row r="179" spans="2:21" ht="13.5" outlineLevel="1">
      <c r="B179" s="5"/>
      <c r="C179" s="261"/>
      <c r="D179" s="261"/>
      <c r="E179" s="262" t="s">
        <v>2159</v>
      </c>
      <c r="F179" s="625" t="s">
        <v>2158</v>
      </c>
      <c r="G179" s="625"/>
      <c r="H179" s="625"/>
      <c r="I179" s="625"/>
      <c r="J179" s="263" t="s">
        <v>70</v>
      </c>
      <c r="K179" s="264"/>
      <c r="L179" s="264"/>
      <c r="M179" s="264">
        <v>11</v>
      </c>
      <c r="N179" s="626"/>
      <c r="O179" s="626"/>
      <c r="P179" s="619">
        <f t="shared" si="20"/>
        <v>0</v>
      </c>
      <c r="Q179" s="619"/>
      <c r="R179" s="619"/>
      <c r="S179" s="619"/>
      <c r="T179" s="6"/>
      <c r="U179" s="142"/>
    </row>
    <row r="180" spans="2:21" ht="13.5" outlineLevel="1">
      <c r="B180" s="5"/>
      <c r="C180" s="261"/>
      <c r="D180" s="261"/>
      <c r="E180" s="262" t="s">
        <v>2160</v>
      </c>
      <c r="F180" s="625" t="s">
        <v>2161</v>
      </c>
      <c r="G180" s="625"/>
      <c r="H180" s="625"/>
      <c r="I180" s="625"/>
      <c r="J180" s="263" t="s">
        <v>70</v>
      </c>
      <c r="K180" s="264"/>
      <c r="L180" s="264"/>
      <c r="M180" s="264">
        <v>8</v>
      </c>
      <c r="N180" s="626"/>
      <c r="O180" s="626"/>
      <c r="P180" s="619">
        <f aca="true" t="shared" si="21" ref="P180">ROUND(N180*M180,2)</f>
        <v>0</v>
      </c>
      <c r="Q180" s="619"/>
      <c r="R180" s="619"/>
      <c r="S180" s="619"/>
      <c r="T180" s="6"/>
      <c r="U180" s="142"/>
    </row>
    <row r="181" spans="2:21" ht="13.5" outlineLevel="1">
      <c r="B181" s="5"/>
      <c r="C181" s="261"/>
      <c r="D181" s="261"/>
      <c r="E181" s="262" t="s">
        <v>2162</v>
      </c>
      <c r="F181" s="625" t="s">
        <v>2163</v>
      </c>
      <c r="G181" s="625"/>
      <c r="H181" s="625"/>
      <c r="I181" s="625"/>
      <c r="J181" s="263" t="s">
        <v>70</v>
      </c>
      <c r="K181" s="264"/>
      <c r="L181" s="264"/>
      <c r="M181" s="264">
        <v>3</v>
      </c>
      <c r="N181" s="626"/>
      <c r="O181" s="626"/>
      <c r="P181" s="619">
        <f t="shared" si="20"/>
        <v>0</v>
      </c>
      <c r="Q181" s="619"/>
      <c r="R181" s="619"/>
      <c r="S181" s="619"/>
      <c r="T181" s="6"/>
      <c r="U181" s="142"/>
    </row>
    <row r="182" spans="2:21" ht="13.5" outlineLevel="1">
      <c r="B182" s="5"/>
      <c r="C182" s="261"/>
      <c r="D182" s="261"/>
      <c r="E182" s="262" t="s">
        <v>2164</v>
      </c>
      <c r="F182" s="625" t="s">
        <v>2165</v>
      </c>
      <c r="G182" s="625"/>
      <c r="H182" s="625"/>
      <c r="I182" s="625"/>
      <c r="J182" s="263" t="s">
        <v>70</v>
      </c>
      <c r="K182" s="264"/>
      <c r="L182" s="264"/>
      <c r="M182" s="264">
        <v>7</v>
      </c>
      <c r="N182" s="626"/>
      <c r="O182" s="626"/>
      <c r="P182" s="619">
        <f t="shared" si="20"/>
        <v>0</v>
      </c>
      <c r="Q182" s="619"/>
      <c r="R182" s="619"/>
      <c r="S182" s="619"/>
      <c r="T182" s="6"/>
      <c r="U182" s="142"/>
    </row>
    <row r="183" spans="2:21" ht="13.5" outlineLevel="1">
      <c r="B183" s="5"/>
      <c r="C183" s="261"/>
      <c r="D183" s="261"/>
      <c r="E183" s="262" t="s">
        <v>2166</v>
      </c>
      <c r="F183" s="625" t="s">
        <v>2168</v>
      </c>
      <c r="G183" s="625"/>
      <c r="H183" s="625"/>
      <c r="I183" s="625"/>
      <c r="J183" s="263" t="s">
        <v>70</v>
      </c>
      <c r="K183" s="264"/>
      <c r="L183" s="264"/>
      <c r="M183" s="264">
        <v>7</v>
      </c>
      <c r="N183" s="626"/>
      <c r="O183" s="626"/>
      <c r="P183" s="619">
        <f aca="true" t="shared" si="22" ref="P183:P185">ROUND(N183*M183,2)</f>
        <v>0</v>
      </c>
      <c r="Q183" s="619"/>
      <c r="R183" s="619"/>
      <c r="S183" s="619"/>
      <c r="T183" s="6"/>
      <c r="U183" s="142"/>
    </row>
    <row r="184" spans="2:21" ht="13.5" outlineLevel="1">
      <c r="B184" s="5"/>
      <c r="C184" s="261"/>
      <c r="D184" s="261"/>
      <c r="E184" s="262" t="s">
        <v>2167</v>
      </c>
      <c r="F184" s="625" t="s">
        <v>2169</v>
      </c>
      <c r="G184" s="625"/>
      <c r="H184" s="625"/>
      <c r="I184" s="625"/>
      <c r="J184" s="263" t="s">
        <v>70</v>
      </c>
      <c r="K184" s="264"/>
      <c r="L184" s="264"/>
      <c r="M184" s="264">
        <v>5</v>
      </c>
      <c r="N184" s="626"/>
      <c r="O184" s="626"/>
      <c r="P184" s="619">
        <f t="shared" si="22"/>
        <v>0</v>
      </c>
      <c r="Q184" s="619"/>
      <c r="R184" s="619"/>
      <c r="S184" s="619"/>
      <c r="T184" s="6"/>
      <c r="U184" s="142"/>
    </row>
    <row r="185" spans="2:21" ht="13.5" outlineLevel="1">
      <c r="B185" s="5"/>
      <c r="C185" s="261"/>
      <c r="D185" s="261"/>
      <c r="E185" s="262" t="s">
        <v>2170</v>
      </c>
      <c r="F185" s="625" t="s">
        <v>2172</v>
      </c>
      <c r="G185" s="625"/>
      <c r="H185" s="625"/>
      <c r="I185" s="625"/>
      <c r="J185" s="263" t="s">
        <v>70</v>
      </c>
      <c r="K185" s="264"/>
      <c r="L185" s="264"/>
      <c r="M185" s="264">
        <v>4</v>
      </c>
      <c r="N185" s="626"/>
      <c r="O185" s="626"/>
      <c r="P185" s="619">
        <f t="shared" si="22"/>
        <v>0</v>
      </c>
      <c r="Q185" s="619"/>
      <c r="R185" s="619"/>
      <c r="S185" s="619"/>
      <c r="T185" s="6"/>
      <c r="U185" s="142"/>
    </row>
    <row r="186" spans="2:21" ht="13.5" outlineLevel="1">
      <c r="B186" s="5"/>
      <c r="C186" s="261"/>
      <c r="D186" s="261"/>
      <c r="E186" s="262" t="s">
        <v>2171</v>
      </c>
      <c r="F186" s="625" t="s">
        <v>2173</v>
      </c>
      <c r="G186" s="625"/>
      <c r="H186" s="625"/>
      <c r="I186" s="625"/>
      <c r="J186" s="263" t="s">
        <v>70</v>
      </c>
      <c r="K186" s="264"/>
      <c r="L186" s="264"/>
      <c r="M186" s="264">
        <v>21</v>
      </c>
      <c r="N186" s="626"/>
      <c r="O186" s="626"/>
      <c r="P186" s="619">
        <f aca="true" t="shared" si="23" ref="P186">ROUND(N186*M186,2)</f>
        <v>0</v>
      </c>
      <c r="Q186" s="619"/>
      <c r="R186" s="619"/>
      <c r="S186" s="619"/>
      <c r="T186" s="6"/>
      <c r="U186" s="142"/>
    </row>
    <row r="187" spans="2:21" ht="13.5" outlineLevel="1">
      <c r="B187" s="5"/>
      <c r="C187" s="261"/>
      <c r="D187" s="261"/>
      <c r="E187" s="262" t="s">
        <v>2174</v>
      </c>
      <c r="F187" s="625" t="s">
        <v>2176</v>
      </c>
      <c r="G187" s="625"/>
      <c r="H187" s="625"/>
      <c r="I187" s="625"/>
      <c r="J187" s="263" t="s">
        <v>69</v>
      </c>
      <c r="K187" s="264"/>
      <c r="L187" s="264"/>
      <c r="M187" s="264">
        <v>1</v>
      </c>
      <c r="N187" s="626"/>
      <c r="O187" s="626"/>
      <c r="P187" s="619">
        <f t="shared" si="20"/>
        <v>0</v>
      </c>
      <c r="Q187" s="619"/>
      <c r="R187" s="619"/>
      <c r="S187" s="619"/>
      <c r="T187" s="6"/>
      <c r="U187" s="142"/>
    </row>
    <row r="188" spans="2:21" ht="13.5" outlineLevel="1">
      <c r="B188" s="5"/>
      <c r="C188" s="261"/>
      <c r="D188" s="261"/>
      <c r="E188" s="262" t="s">
        <v>2175</v>
      </c>
      <c r="F188" s="625" t="s">
        <v>2177</v>
      </c>
      <c r="G188" s="625"/>
      <c r="H188" s="625"/>
      <c r="I188" s="625"/>
      <c r="J188" s="263" t="s">
        <v>69</v>
      </c>
      <c r="K188" s="264"/>
      <c r="L188" s="264"/>
      <c r="M188" s="264">
        <v>1</v>
      </c>
      <c r="N188" s="626"/>
      <c r="O188" s="626"/>
      <c r="P188" s="619">
        <f t="shared" si="20"/>
        <v>0</v>
      </c>
      <c r="Q188" s="619"/>
      <c r="R188" s="619"/>
      <c r="S188" s="619"/>
      <c r="T188" s="6"/>
      <c r="U188" s="142"/>
    </row>
    <row r="189" spans="2:21" ht="13.5" outlineLevel="1">
      <c r="B189" s="5"/>
      <c r="C189" s="261"/>
      <c r="D189" s="261"/>
      <c r="E189" s="262" t="s">
        <v>2178</v>
      </c>
      <c r="F189" s="625" t="s">
        <v>2182</v>
      </c>
      <c r="G189" s="625"/>
      <c r="H189" s="625"/>
      <c r="I189" s="625"/>
      <c r="J189" s="263" t="s">
        <v>69</v>
      </c>
      <c r="K189" s="264"/>
      <c r="L189" s="264"/>
      <c r="M189" s="264">
        <v>2</v>
      </c>
      <c r="N189" s="626"/>
      <c r="O189" s="626"/>
      <c r="P189" s="619">
        <f>ROUND(N189*M189,2)</f>
        <v>0</v>
      </c>
      <c r="Q189" s="619"/>
      <c r="R189" s="619"/>
      <c r="S189" s="619"/>
      <c r="T189" s="6"/>
      <c r="U189" s="142"/>
    </row>
    <row r="190" spans="2:21" ht="34.5" customHeight="1" outlineLevel="1">
      <c r="B190" s="5"/>
      <c r="C190" s="261"/>
      <c r="D190" s="261"/>
      <c r="E190" s="262" t="s">
        <v>2179</v>
      </c>
      <c r="F190" s="625" t="s">
        <v>2183</v>
      </c>
      <c r="G190" s="625"/>
      <c r="H190" s="625"/>
      <c r="I190" s="625"/>
      <c r="J190" s="263" t="s">
        <v>70</v>
      </c>
      <c r="K190" s="264"/>
      <c r="L190" s="264"/>
      <c r="M190" s="264">
        <v>3</v>
      </c>
      <c r="N190" s="626"/>
      <c r="O190" s="626"/>
      <c r="P190" s="619">
        <f>ROUND(N190*M190,2)</f>
        <v>0</v>
      </c>
      <c r="Q190" s="619"/>
      <c r="R190" s="619"/>
      <c r="S190" s="619"/>
      <c r="T190" s="6"/>
      <c r="U190" s="142"/>
    </row>
    <row r="191" spans="2:21" ht="13.5" outlineLevel="1">
      <c r="B191" s="5"/>
      <c r="C191" s="261"/>
      <c r="D191" s="261"/>
      <c r="E191" s="262" t="s">
        <v>2180</v>
      </c>
      <c r="F191" s="625" t="s">
        <v>2184</v>
      </c>
      <c r="G191" s="625"/>
      <c r="H191" s="625"/>
      <c r="I191" s="625"/>
      <c r="J191" s="263" t="s">
        <v>70</v>
      </c>
      <c r="K191" s="264"/>
      <c r="L191" s="264"/>
      <c r="M191" s="264">
        <v>6</v>
      </c>
      <c r="N191" s="626"/>
      <c r="O191" s="626"/>
      <c r="P191" s="619">
        <f>ROUND(N191*M191,2)</f>
        <v>0</v>
      </c>
      <c r="Q191" s="619"/>
      <c r="R191" s="619"/>
      <c r="S191" s="619"/>
      <c r="T191" s="6"/>
      <c r="U191" s="142"/>
    </row>
    <row r="192" spans="2:21" ht="13.5" outlineLevel="1">
      <c r="B192" s="5"/>
      <c r="C192" s="261"/>
      <c r="D192" s="261"/>
      <c r="E192" s="262" t="s">
        <v>2181</v>
      </c>
      <c r="F192" s="625" t="s">
        <v>2185</v>
      </c>
      <c r="G192" s="625"/>
      <c r="H192" s="625"/>
      <c r="I192" s="625"/>
      <c r="J192" s="263" t="s">
        <v>70</v>
      </c>
      <c r="K192" s="264"/>
      <c r="L192" s="264"/>
      <c r="M192" s="264">
        <v>3</v>
      </c>
      <c r="N192" s="626"/>
      <c r="O192" s="626"/>
      <c r="P192" s="619">
        <f>ROUND(N192*M192,2)</f>
        <v>0</v>
      </c>
      <c r="Q192" s="619"/>
      <c r="R192" s="619"/>
      <c r="S192" s="619"/>
      <c r="T192" s="6"/>
      <c r="U192" s="142"/>
    </row>
    <row r="193" spans="2:21" s="143" customFormat="1" ht="12.75">
      <c r="B193" s="139"/>
      <c r="C193" s="258"/>
      <c r="D193" s="140" t="s">
        <v>2186</v>
      </c>
      <c r="E193" s="259"/>
      <c r="F193" s="140"/>
      <c r="G193" s="140"/>
      <c r="H193" s="140"/>
      <c r="I193" s="140"/>
      <c r="J193" s="140"/>
      <c r="K193" s="140"/>
      <c r="L193" s="140"/>
      <c r="M193" s="140"/>
      <c r="N193" s="186"/>
      <c r="O193" s="186"/>
      <c r="P193" s="633">
        <f>SUM(P194:S219)</f>
        <v>0</v>
      </c>
      <c r="Q193" s="633"/>
      <c r="R193" s="633"/>
      <c r="S193" s="633"/>
      <c r="T193" s="141"/>
      <c r="U193" s="142"/>
    </row>
    <row r="194" spans="2:21" ht="13.5" outlineLevel="1">
      <c r="B194" s="5"/>
      <c r="C194" s="261"/>
      <c r="D194" s="261"/>
      <c r="E194" s="262" t="s">
        <v>503</v>
      </c>
      <c r="F194" s="625" t="s">
        <v>2195</v>
      </c>
      <c r="G194" s="625"/>
      <c r="H194" s="625"/>
      <c r="I194" s="625"/>
      <c r="J194" s="263" t="s">
        <v>69</v>
      </c>
      <c r="K194" s="264"/>
      <c r="L194" s="264"/>
      <c r="M194" s="264">
        <v>1</v>
      </c>
      <c r="N194" s="626"/>
      <c r="O194" s="626"/>
      <c r="P194" s="619">
        <f>ROUND(N194*M194,2)</f>
        <v>0</v>
      </c>
      <c r="Q194" s="619"/>
      <c r="R194" s="619"/>
      <c r="S194" s="619"/>
      <c r="T194" s="6"/>
      <c r="U194" s="142"/>
    </row>
    <row r="195" spans="2:21" ht="13.5" outlineLevel="1">
      <c r="B195" s="5"/>
      <c r="C195" s="567"/>
      <c r="D195" s="567"/>
      <c r="E195" s="568" t="s">
        <v>2462</v>
      </c>
      <c r="F195" s="686" t="s">
        <v>2463</v>
      </c>
      <c r="G195" s="686"/>
      <c r="H195" s="686"/>
      <c r="I195" s="686"/>
      <c r="J195" s="569" t="s">
        <v>69</v>
      </c>
      <c r="K195" s="570"/>
      <c r="L195" s="570"/>
      <c r="M195" s="570">
        <v>1</v>
      </c>
      <c r="N195" s="626"/>
      <c r="O195" s="626"/>
      <c r="P195" s="619">
        <f aca="true" t="shared" si="24" ref="P195">ROUND(N195*M195,2)</f>
        <v>0</v>
      </c>
      <c r="Q195" s="619"/>
      <c r="R195" s="619"/>
      <c r="S195" s="619"/>
      <c r="T195" s="6"/>
      <c r="U195" s="142"/>
    </row>
    <row r="196" spans="2:21" ht="13.5" outlineLevel="1">
      <c r="B196" s="5"/>
      <c r="C196" s="261"/>
      <c r="D196" s="261"/>
      <c r="E196" s="262" t="s">
        <v>504</v>
      </c>
      <c r="F196" s="625" t="s">
        <v>2196</v>
      </c>
      <c r="G196" s="625"/>
      <c r="H196" s="625"/>
      <c r="I196" s="625"/>
      <c r="J196" s="263" t="s">
        <v>69</v>
      </c>
      <c r="K196" s="264"/>
      <c r="L196" s="264"/>
      <c r="M196" s="264">
        <v>1</v>
      </c>
      <c r="N196" s="626"/>
      <c r="O196" s="626"/>
      <c r="P196" s="619">
        <f aca="true" t="shared" si="25" ref="P196:P202">ROUND(N196*M196,2)</f>
        <v>0</v>
      </c>
      <c r="Q196" s="619"/>
      <c r="R196" s="619"/>
      <c r="S196" s="619"/>
      <c r="T196" s="6"/>
      <c r="U196" s="142"/>
    </row>
    <row r="197" spans="2:21" ht="13.5" outlineLevel="1">
      <c r="B197" s="5"/>
      <c r="C197" s="261"/>
      <c r="D197" s="261"/>
      <c r="E197" s="262" t="s">
        <v>2187</v>
      </c>
      <c r="F197" s="625" t="s">
        <v>2197</v>
      </c>
      <c r="G197" s="625"/>
      <c r="H197" s="625"/>
      <c r="I197" s="625"/>
      <c r="J197" s="263" t="s">
        <v>69</v>
      </c>
      <c r="K197" s="264"/>
      <c r="L197" s="264"/>
      <c r="M197" s="264">
        <v>1</v>
      </c>
      <c r="N197" s="626"/>
      <c r="O197" s="626"/>
      <c r="P197" s="619">
        <f t="shared" si="25"/>
        <v>0</v>
      </c>
      <c r="Q197" s="619"/>
      <c r="R197" s="619"/>
      <c r="S197" s="619"/>
      <c r="T197" s="6"/>
      <c r="U197" s="142"/>
    </row>
    <row r="198" spans="2:21" ht="13.5" outlineLevel="1">
      <c r="B198" s="5"/>
      <c r="C198" s="261"/>
      <c r="D198" s="261"/>
      <c r="E198" s="262" t="s">
        <v>2188</v>
      </c>
      <c r="F198" s="625" t="s">
        <v>2198</v>
      </c>
      <c r="G198" s="625"/>
      <c r="H198" s="625"/>
      <c r="I198" s="625"/>
      <c r="J198" s="263" t="s">
        <v>69</v>
      </c>
      <c r="K198" s="264"/>
      <c r="L198" s="264"/>
      <c r="M198" s="264">
        <v>1</v>
      </c>
      <c r="N198" s="626"/>
      <c r="O198" s="626"/>
      <c r="P198" s="619">
        <f t="shared" si="25"/>
        <v>0</v>
      </c>
      <c r="Q198" s="619"/>
      <c r="R198" s="619"/>
      <c r="S198" s="619"/>
      <c r="T198" s="6"/>
      <c r="U198" s="142"/>
    </row>
    <row r="199" spans="2:21" ht="13.5" outlineLevel="1">
      <c r="B199" s="5"/>
      <c r="C199" s="261"/>
      <c r="D199" s="261"/>
      <c r="E199" s="262" t="s">
        <v>2189</v>
      </c>
      <c r="F199" s="661" t="s">
        <v>2199</v>
      </c>
      <c r="G199" s="662"/>
      <c r="H199" s="662"/>
      <c r="I199" s="663"/>
      <c r="J199" s="263" t="s">
        <v>69</v>
      </c>
      <c r="K199" s="264"/>
      <c r="L199" s="264"/>
      <c r="M199" s="264">
        <v>1</v>
      </c>
      <c r="N199" s="626"/>
      <c r="O199" s="626"/>
      <c r="P199" s="619">
        <f t="shared" si="25"/>
        <v>0</v>
      </c>
      <c r="Q199" s="619"/>
      <c r="R199" s="619"/>
      <c r="S199" s="619"/>
      <c r="T199" s="6"/>
      <c r="U199" s="142"/>
    </row>
    <row r="200" spans="2:21" ht="13.5" outlineLevel="1">
      <c r="B200" s="5"/>
      <c r="C200" s="261"/>
      <c r="D200" s="261"/>
      <c r="E200" s="262" t="s">
        <v>2190</v>
      </c>
      <c r="F200" s="661" t="s">
        <v>2200</v>
      </c>
      <c r="G200" s="662"/>
      <c r="H200" s="662"/>
      <c r="I200" s="663"/>
      <c r="J200" s="263" t="s">
        <v>69</v>
      </c>
      <c r="K200" s="264"/>
      <c r="L200" s="264"/>
      <c r="M200" s="264">
        <v>1</v>
      </c>
      <c r="N200" s="626"/>
      <c r="O200" s="626"/>
      <c r="P200" s="619">
        <f t="shared" si="25"/>
        <v>0</v>
      </c>
      <c r="Q200" s="619"/>
      <c r="R200" s="619"/>
      <c r="S200" s="619"/>
      <c r="T200" s="6"/>
      <c r="U200" s="142"/>
    </row>
    <row r="201" spans="2:21" ht="13.5" outlineLevel="1">
      <c r="B201" s="5"/>
      <c r="C201" s="261"/>
      <c r="D201" s="261"/>
      <c r="E201" s="262" t="s">
        <v>2191</v>
      </c>
      <c r="F201" s="661" t="s">
        <v>2201</v>
      </c>
      <c r="G201" s="662"/>
      <c r="H201" s="662"/>
      <c r="I201" s="663"/>
      <c r="J201" s="263" t="s">
        <v>69</v>
      </c>
      <c r="K201" s="264"/>
      <c r="L201" s="264"/>
      <c r="M201" s="264">
        <v>2</v>
      </c>
      <c r="N201" s="626"/>
      <c r="O201" s="626"/>
      <c r="P201" s="619">
        <f t="shared" si="25"/>
        <v>0</v>
      </c>
      <c r="Q201" s="619"/>
      <c r="R201" s="619"/>
      <c r="S201" s="619"/>
      <c r="T201" s="6"/>
      <c r="U201" s="142"/>
    </row>
    <row r="202" spans="2:21" ht="13.5" outlineLevel="1">
      <c r="B202" s="5"/>
      <c r="C202" s="261"/>
      <c r="D202" s="261"/>
      <c r="E202" s="262" t="s">
        <v>2192</v>
      </c>
      <c r="F202" s="661" t="s">
        <v>2201</v>
      </c>
      <c r="G202" s="662"/>
      <c r="H202" s="662"/>
      <c r="I202" s="663"/>
      <c r="J202" s="263" t="s">
        <v>69</v>
      </c>
      <c r="K202" s="264"/>
      <c r="L202" s="264"/>
      <c r="M202" s="264">
        <v>3</v>
      </c>
      <c r="N202" s="626"/>
      <c r="O202" s="626"/>
      <c r="P202" s="619">
        <f t="shared" si="25"/>
        <v>0</v>
      </c>
      <c r="Q202" s="619"/>
      <c r="R202" s="619"/>
      <c r="S202" s="619"/>
      <c r="T202" s="6"/>
      <c r="U202" s="142"/>
    </row>
    <row r="203" spans="2:21" ht="13.5" outlineLevel="1">
      <c r="B203" s="5"/>
      <c r="C203" s="261"/>
      <c r="D203" s="261"/>
      <c r="E203" s="262" t="s">
        <v>2193</v>
      </c>
      <c r="F203" s="661" t="s">
        <v>2204</v>
      </c>
      <c r="G203" s="662"/>
      <c r="H203" s="662"/>
      <c r="I203" s="663"/>
      <c r="J203" s="263" t="s">
        <v>69</v>
      </c>
      <c r="K203" s="264"/>
      <c r="L203" s="264"/>
      <c r="M203" s="264">
        <v>1</v>
      </c>
      <c r="N203" s="626"/>
      <c r="O203" s="626"/>
      <c r="P203" s="619">
        <f aca="true" t="shared" si="26" ref="P203:P219">ROUND(N203*M203,2)</f>
        <v>0</v>
      </c>
      <c r="Q203" s="619"/>
      <c r="R203" s="619"/>
      <c r="S203" s="619"/>
      <c r="T203" s="6"/>
      <c r="U203" s="142"/>
    </row>
    <row r="204" spans="2:21" ht="13.5" outlineLevel="1">
      <c r="B204" s="5"/>
      <c r="C204" s="261"/>
      <c r="D204" s="261"/>
      <c r="E204" s="262" t="s">
        <v>2194</v>
      </c>
      <c r="F204" s="661" t="s">
        <v>2205</v>
      </c>
      <c r="G204" s="662"/>
      <c r="H204" s="662"/>
      <c r="I204" s="663"/>
      <c r="J204" s="263" t="s">
        <v>69</v>
      </c>
      <c r="K204" s="264"/>
      <c r="L204" s="264"/>
      <c r="M204" s="264">
        <v>1</v>
      </c>
      <c r="N204" s="626"/>
      <c r="O204" s="626"/>
      <c r="P204" s="619">
        <f t="shared" si="26"/>
        <v>0</v>
      </c>
      <c r="Q204" s="619"/>
      <c r="R204" s="619"/>
      <c r="S204" s="619"/>
      <c r="T204" s="6"/>
      <c r="U204" s="142"/>
    </row>
    <row r="205" spans="2:21" ht="13.5" outlineLevel="1">
      <c r="B205" s="5"/>
      <c r="C205" s="261"/>
      <c r="D205" s="261"/>
      <c r="E205" s="262" t="s">
        <v>2206</v>
      </c>
      <c r="F205" s="661" t="s">
        <v>2207</v>
      </c>
      <c r="G205" s="662"/>
      <c r="H205" s="662"/>
      <c r="I205" s="663"/>
      <c r="J205" s="263" t="s">
        <v>69</v>
      </c>
      <c r="K205" s="264"/>
      <c r="L205" s="264"/>
      <c r="M205" s="264">
        <v>1</v>
      </c>
      <c r="N205" s="626"/>
      <c r="O205" s="626"/>
      <c r="P205" s="619">
        <f t="shared" si="26"/>
        <v>0</v>
      </c>
      <c r="Q205" s="619"/>
      <c r="R205" s="619"/>
      <c r="S205" s="619"/>
      <c r="T205" s="6"/>
      <c r="U205" s="142"/>
    </row>
    <row r="206" spans="2:21" ht="13.5" outlineLevel="1">
      <c r="B206" s="5"/>
      <c r="C206" s="261"/>
      <c r="D206" s="261"/>
      <c r="E206" s="262" t="s">
        <v>2208</v>
      </c>
      <c r="F206" s="661" t="s">
        <v>2207</v>
      </c>
      <c r="G206" s="662"/>
      <c r="H206" s="662"/>
      <c r="I206" s="663"/>
      <c r="J206" s="263" t="s">
        <v>69</v>
      </c>
      <c r="K206" s="264"/>
      <c r="L206" s="264"/>
      <c r="M206" s="264">
        <v>1</v>
      </c>
      <c r="N206" s="626"/>
      <c r="O206" s="626"/>
      <c r="P206" s="619">
        <f aca="true" t="shared" si="27" ref="P206:P209">ROUND(N206*M206,2)</f>
        <v>0</v>
      </c>
      <c r="Q206" s="619"/>
      <c r="R206" s="619"/>
      <c r="S206" s="619"/>
      <c r="T206" s="6"/>
      <c r="U206" s="142"/>
    </row>
    <row r="207" spans="2:21" ht="13.5" outlineLevel="1">
      <c r="B207" s="5"/>
      <c r="C207" s="261"/>
      <c r="D207" s="261"/>
      <c r="E207" s="262" t="s">
        <v>2209</v>
      </c>
      <c r="F207" s="661" t="s">
        <v>2207</v>
      </c>
      <c r="G207" s="662"/>
      <c r="H207" s="662"/>
      <c r="I207" s="663"/>
      <c r="J207" s="263" t="s">
        <v>69</v>
      </c>
      <c r="K207" s="264"/>
      <c r="L207" s="264"/>
      <c r="M207" s="264">
        <v>1</v>
      </c>
      <c r="N207" s="626"/>
      <c r="O207" s="626"/>
      <c r="P207" s="619">
        <f t="shared" si="27"/>
        <v>0</v>
      </c>
      <c r="Q207" s="619"/>
      <c r="R207" s="619"/>
      <c r="S207" s="619"/>
      <c r="T207" s="6"/>
      <c r="U207" s="142"/>
    </row>
    <row r="208" spans="2:21" ht="13.5" outlineLevel="1">
      <c r="B208" s="5"/>
      <c r="C208" s="261"/>
      <c r="D208" s="261"/>
      <c r="E208" s="262" t="s">
        <v>2210</v>
      </c>
      <c r="F208" s="661" t="s">
        <v>2207</v>
      </c>
      <c r="G208" s="662"/>
      <c r="H208" s="662"/>
      <c r="I208" s="663"/>
      <c r="J208" s="263" t="s">
        <v>69</v>
      </c>
      <c r="K208" s="264"/>
      <c r="L208" s="264"/>
      <c r="M208" s="264">
        <v>1</v>
      </c>
      <c r="N208" s="626"/>
      <c r="O208" s="626"/>
      <c r="P208" s="619">
        <f t="shared" si="27"/>
        <v>0</v>
      </c>
      <c r="Q208" s="619"/>
      <c r="R208" s="619"/>
      <c r="S208" s="619"/>
      <c r="T208" s="6"/>
      <c r="U208" s="142"/>
    </row>
    <row r="209" spans="2:21" ht="13.5" outlineLevel="1">
      <c r="B209" s="5"/>
      <c r="C209" s="261"/>
      <c r="D209" s="261"/>
      <c r="E209" s="262" t="s">
        <v>2211</v>
      </c>
      <c r="F209" s="661" t="s">
        <v>2207</v>
      </c>
      <c r="G209" s="662"/>
      <c r="H209" s="662"/>
      <c r="I209" s="663"/>
      <c r="J209" s="263" t="s">
        <v>69</v>
      </c>
      <c r="K209" s="264"/>
      <c r="L209" s="264"/>
      <c r="M209" s="264">
        <v>1</v>
      </c>
      <c r="N209" s="626"/>
      <c r="O209" s="626"/>
      <c r="P209" s="619">
        <f t="shared" si="27"/>
        <v>0</v>
      </c>
      <c r="Q209" s="619"/>
      <c r="R209" s="619"/>
      <c r="S209" s="619"/>
      <c r="T209" s="6"/>
      <c r="U209" s="142"/>
    </row>
    <row r="210" spans="2:21" ht="13.5" outlineLevel="1">
      <c r="B210" s="5"/>
      <c r="C210" s="261"/>
      <c r="D210" s="261"/>
      <c r="E210" s="262" t="s">
        <v>2212</v>
      </c>
      <c r="F210" s="661" t="s">
        <v>2207</v>
      </c>
      <c r="G210" s="662"/>
      <c r="H210" s="662"/>
      <c r="I210" s="663"/>
      <c r="J210" s="263" t="s">
        <v>69</v>
      </c>
      <c r="K210" s="264"/>
      <c r="L210" s="264"/>
      <c r="M210" s="264">
        <v>1</v>
      </c>
      <c r="N210" s="626"/>
      <c r="O210" s="626"/>
      <c r="P210" s="619">
        <f aca="true" t="shared" si="28" ref="P210:P212">ROUND(N210*M210,2)</f>
        <v>0</v>
      </c>
      <c r="Q210" s="619"/>
      <c r="R210" s="619"/>
      <c r="S210" s="619"/>
      <c r="T210" s="6"/>
      <c r="U210" s="142"/>
    </row>
    <row r="211" spans="2:21" ht="13.5" outlineLevel="1">
      <c r="B211" s="5"/>
      <c r="C211" s="261"/>
      <c r="D211" s="261"/>
      <c r="E211" s="262" t="s">
        <v>2213</v>
      </c>
      <c r="F211" s="661" t="s">
        <v>2207</v>
      </c>
      <c r="G211" s="662"/>
      <c r="H211" s="662"/>
      <c r="I211" s="663"/>
      <c r="J211" s="263" t="s">
        <v>69</v>
      </c>
      <c r="K211" s="264"/>
      <c r="L211" s="264"/>
      <c r="M211" s="264">
        <v>1</v>
      </c>
      <c r="N211" s="626"/>
      <c r="O211" s="626"/>
      <c r="P211" s="619">
        <f t="shared" si="28"/>
        <v>0</v>
      </c>
      <c r="Q211" s="619"/>
      <c r="R211" s="619"/>
      <c r="S211" s="619"/>
      <c r="T211" s="6"/>
      <c r="U211" s="142"/>
    </row>
    <row r="212" spans="2:21" ht="13.5" outlineLevel="1">
      <c r="B212" s="5"/>
      <c r="C212" s="261"/>
      <c r="D212" s="261"/>
      <c r="E212" s="262" t="s">
        <v>2214</v>
      </c>
      <c r="F212" s="661" t="s">
        <v>2207</v>
      </c>
      <c r="G212" s="662"/>
      <c r="H212" s="662"/>
      <c r="I212" s="663"/>
      <c r="J212" s="263" t="s">
        <v>69</v>
      </c>
      <c r="K212" s="264"/>
      <c r="L212" s="264"/>
      <c r="M212" s="264">
        <v>1</v>
      </c>
      <c r="N212" s="626"/>
      <c r="O212" s="626"/>
      <c r="P212" s="619">
        <f t="shared" si="28"/>
        <v>0</v>
      </c>
      <c r="Q212" s="619"/>
      <c r="R212" s="619"/>
      <c r="S212" s="619"/>
      <c r="T212" s="6"/>
      <c r="U212" s="142"/>
    </row>
    <row r="213" spans="2:21" ht="13.5" outlineLevel="1">
      <c r="B213" s="5"/>
      <c r="C213" s="261"/>
      <c r="D213" s="261"/>
      <c r="E213" s="262" t="s">
        <v>2215</v>
      </c>
      <c r="F213" s="661" t="s">
        <v>2218</v>
      </c>
      <c r="G213" s="662"/>
      <c r="H213" s="662"/>
      <c r="I213" s="663"/>
      <c r="J213" s="263" t="s">
        <v>69</v>
      </c>
      <c r="K213" s="264"/>
      <c r="L213" s="264"/>
      <c r="M213" s="264">
        <v>1</v>
      </c>
      <c r="N213" s="626"/>
      <c r="O213" s="626"/>
      <c r="P213" s="619">
        <f t="shared" si="26"/>
        <v>0</v>
      </c>
      <c r="Q213" s="619"/>
      <c r="R213" s="619"/>
      <c r="S213" s="619"/>
      <c r="T213" s="6"/>
      <c r="U213" s="142"/>
    </row>
    <row r="214" spans="2:21" ht="11.25" customHeight="1" outlineLevel="1">
      <c r="B214" s="5"/>
      <c r="C214" s="261"/>
      <c r="D214" s="261"/>
      <c r="E214" s="262" t="s">
        <v>2216</v>
      </c>
      <c r="F214" s="661" t="s">
        <v>2218</v>
      </c>
      <c r="G214" s="662"/>
      <c r="H214" s="662"/>
      <c r="I214" s="663"/>
      <c r="J214" s="263" t="s">
        <v>69</v>
      </c>
      <c r="K214" s="264"/>
      <c r="L214" s="264"/>
      <c r="M214" s="264">
        <v>1</v>
      </c>
      <c r="N214" s="626"/>
      <c r="O214" s="626"/>
      <c r="P214" s="619">
        <f aca="true" t="shared" si="29" ref="P214:P215">ROUND(N214*M214,2)</f>
        <v>0</v>
      </c>
      <c r="Q214" s="619"/>
      <c r="R214" s="619"/>
      <c r="S214" s="619"/>
      <c r="T214" s="6"/>
      <c r="U214" s="142"/>
    </row>
    <row r="215" spans="2:21" ht="11.25" customHeight="1" outlineLevel="1">
      <c r="B215" s="5"/>
      <c r="C215" s="261"/>
      <c r="D215" s="261"/>
      <c r="E215" s="262" t="s">
        <v>2217</v>
      </c>
      <c r="F215" s="661" t="s">
        <v>2218</v>
      </c>
      <c r="G215" s="662"/>
      <c r="H215" s="662"/>
      <c r="I215" s="663"/>
      <c r="J215" s="263" t="s">
        <v>69</v>
      </c>
      <c r="K215" s="264"/>
      <c r="L215" s="264"/>
      <c r="M215" s="264">
        <v>1</v>
      </c>
      <c r="N215" s="626"/>
      <c r="O215" s="626"/>
      <c r="P215" s="619">
        <f t="shared" si="29"/>
        <v>0</v>
      </c>
      <c r="Q215" s="619"/>
      <c r="R215" s="619"/>
      <c r="S215" s="619"/>
      <c r="T215" s="6"/>
      <c r="U215" s="142"/>
    </row>
    <row r="216" spans="2:21" ht="11.25" customHeight="1" outlineLevel="1">
      <c r="B216" s="5"/>
      <c r="C216" s="261"/>
      <c r="D216" s="261"/>
      <c r="E216" s="262" t="s">
        <v>2202</v>
      </c>
      <c r="F216" s="661" t="s">
        <v>2218</v>
      </c>
      <c r="G216" s="662"/>
      <c r="H216" s="662"/>
      <c r="I216" s="663"/>
      <c r="J216" s="263" t="s">
        <v>69</v>
      </c>
      <c r="K216" s="264"/>
      <c r="L216" s="264"/>
      <c r="M216" s="264">
        <v>1</v>
      </c>
      <c r="N216" s="626"/>
      <c r="O216" s="626"/>
      <c r="P216" s="619">
        <f t="shared" si="26"/>
        <v>0</v>
      </c>
      <c r="Q216" s="619"/>
      <c r="R216" s="619"/>
      <c r="S216" s="619"/>
      <c r="T216" s="6"/>
      <c r="U216" s="142"/>
    </row>
    <row r="217" spans="2:21" ht="13.5" outlineLevel="1">
      <c r="B217" s="5"/>
      <c r="C217" s="261"/>
      <c r="D217" s="261"/>
      <c r="E217" s="262" t="s">
        <v>2203</v>
      </c>
      <c r="F217" s="661" t="s">
        <v>2219</v>
      </c>
      <c r="G217" s="662"/>
      <c r="H217" s="662"/>
      <c r="I217" s="663"/>
      <c r="J217" s="263" t="s">
        <v>69</v>
      </c>
      <c r="K217" s="264"/>
      <c r="L217" s="264"/>
      <c r="M217" s="264">
        <v>1</v>
      </c>
      <c r="N217" s="626"/>
      <c r="O217" s="626"/>
      <c r="P217" s="619">
        <f aca="true" t="shared" si="30" ref="P217:P218">ROUND(N217*M217,2)</f>
        <v>0</v>
      </c>
      <c r="Q217" s="619"/>
      <c r="R217" s="619"/>
      <c r="S217" s="619"/>
      <c r="T217" s="6"/>
      <c r="U217" s="142"/>
    </row>
    <row r="218" spans="2:21" ht="13.5" outlineLevel="1">
      <c r="B218" s="5"/>
      <c r="C218" s="261"/>
      <c r="D218" s="261"/>
      <c r="E218" s="262" t="s">
        <v>2330</v>
      </c>
      <c r="F218" s="661" t="s">
        <v>2332</v>
      </c>
      <c r="G218" s="662"/>
      <c r="H218" s="662"/>
      <c r="I218" s="663"/>
      <c r="J218" s="263" t="s">
        <v>70</v>
      </c>
      <c r="K218" s="264"/>
      <c r="L218" s="264"/>
      <c r="M218" s="264">
        <v>6</v>
      </c>
      <c r="N218" s="626"/>
      <c r="O218" s="626"/>
      <c r="P218" s="619">
        <f t="shared" si="30"/>
        <v>0</v>
      </c>
      <c r="Q218" s="619"/>
      <c r="R218" s="619"/>
      <c r="S218" s="619"/>
      <c r="T218" s="6"/>
      <c r="U218" s="142"/>
    </row>
    <row r="219" spans="2:21" ht="13.5" outlineLevel="1">
      <c r="B219" s="5"/>
      <c r="C219" s="261"/>
      <c r="D219" s="261"/>
      <c r="E219" s="262" t="s">
        <v>2331</v>
      </c>
      <c r="F219" s="661" t="s">
        <v>2333</v>
      </c>
      <c r="G219" s="662"/>
      <c r="H219" s="662"/>
      <c r="I219" s="663"/>
      <c r="J219" s="263" t="s">
        <v>69</v>
      </c>
      <c r="K219" s="264"/>
      <c r="L219" s="264"/>
      <c r="M219" s="264">
        <v>1</v>
      </c>
      <c r="N219" s="626"/>
      <c r="O219" s="626"/>
      <c r="P219" s="619">
        <f t="shared" si="26"/>
        <v>0</v>
      </c>
      <c r="Q219" s="619"/>
      <c r="R219" s="619"/>
      <c r="S219" s="619"/>
      <c r="T219" s="6"/>
      <c r="U219" s="142"/>
    </row>
    <row r="220" spans="2:21" s="143" customFormat="1" ht="12.75">
      <c r="B220" s="139"/>
      <c r="C220" s="258"/>
      <c r="D220" s="140" t="s">
        <v>2220</v>
      </c>
      <c r="E220" s="259"/>
      <c r="F220" s="140"/>
      <c r="G220" s="140"/>
      <c r="H220" s="140"/>
      <c r="I220" s="140"/>
      <c r="J220" s="140"/>
      <c r="K220" s="140"/>
      <c r="L220" s="140"/>
      <c r="M220" s="140"/>
      <c r="N220" s="186"/>
      <c r="O220" s="186"/>
      <c r="P220" s="633">
        <f>SUM(P221:S224)</f>
        <v>0</v>
      </c>
      <c r="Q220" s="633"/>
      <c r="R220" s="633"/>
      <c r="S220" s="633"/>
      <c r="T220" s="141"/>
      <c r="U220" s="142"/>
    </row>
    <row r="221" spans="2:21" ht="11.25" customHeight="1" outlineLevel="1">
      <c r="B221" s="5"/>
      <c r="C221" s="261"/>
      <c r="D221" s="261"/>
      <c r="E221" s="262" t="s">
        <v>2221</v>
      </c>
      <c r="F221" s="661" t="s">
        <v>2225</v>
      </c>
      <c r="G221" s="662"/>
      <c r="H221" s="662"/>
      <c r="I221" s="663"/>
      <c r="J221" s="263" t="s">
        <v>69</v>
      </c>
      <c r="K221" s="264"/>
      <c r="L221" s="264"/>
      <c r="M221" s="264">
        <v>1</v>
      </c>
      <c r="N221" s="626"/>
      <c r="O221" s="626"/>
      <c r="P221" s="619">
        <f>ROUND(N221*M221,2)</f>
        <v>0</v>
      </c>
      <c r="Q221" s="619"/>
      <c r="R221" s="619"/>
      <c r="S221" s="619"/>
      <c r="T221" s="6"/>
      <c r="U221" s="142"/>
    </row>
    <row r="222" spans="2:21" ht="11.25" customHeight="1" outlineLevel="1">
      <c r="B222" s="5"/>
      <c r="C222" s="261"/>
      <c r="D222" s="261"/>
      <c r="E222" s="262" t="s">
        <v>2222</v>
      </c>
      <c r="F222" s="661" t="s">
        <v>2226</v>
      </c>
      <c r="G222" s="662"/>
      <c r="H222" s="662"/>
      <c r="I222" s="663"/>
      <c r="J222" s="263" t="s">
        <v>69</v>
      </c>
      <c r="K222" s="264"/>
      <c r="L222" s="264"/>
      <c r="M222" s="264">
        <v>19</v>
      </c>
      <c r="N222" s="626"/>
      <c r="O222" s="626"/>
      <c r="P222" s="619">
        <f aca="true" t="shared" si="31" ref="P222:P224">ROUND(N222*M222,2)</f>
        <v>0</v>
      </c>
      <c r="Q222" s="619"/>
      <c r="R222" s="619"/>
      <c r="S222" s="619"/>
      <c r="T222" s="6"/>
      <c r="U222" s="142"/>
    </row>
    <row r="223" spans="2:21" ht="11.25" customHeight="1" outlineLevel="1">
      <c r="B223" s="5"/>
      <c r="C223" s="261"/>
      <c r="D223" s="261"/>
      <c r="E223" s="262" t="s">
        <v>2223</v>
      </c>
      <c r="F223" s="661" t="s">
        <v>2227</v>
      </c>
      <c r="G223" s="662"/>
      <c r="H223" s="662"/>
      <c r="I223" s="663"/>
      <c r="J223" s="263" t="s">
        <v>69</v>
      </c>
      <c r="K223" s="264"/>
      <c r="L223" s="264"/>
      <c r="M223" s="264">
        <v>1</v>
      </c>
      <c r="N223" s="626"/>
      <c r="O223" s="626"/>
      <c r="P223" s="619">
        <f t="shared" si="31"/>
        <v>0</v>
      </c>
      <c r="Q223" s="619"/>
      <c r="R223" s="619"/>
      <c r="S223" s="619"/>
      <c r="T223" s="6"/>
      <c r="U223" s="142"/>
    </row>
    <row r="224" spans="2:21" ht="11.25" customHeight="1" outlineLevel="1">
      <c r="B224" s="5"/>
      <c r="C224" s="261"/>
      <c r="D224" s="261"/>
      <c r="E224" s="262" t="s">
        <v>2224</v>
      </c>
      <c r="F224" s="661" t="s">
        <v>2228</v>
      </c>
      <c r="G224" s="662"/>
      <c r="H224" s="662"/>
      <c r="I224" s="663"/>
      <c r="J224" s="263" t="s">
        <v>69</v>
      </c>
      <c r="K224" s="264"/>
      <c r="L224" s="264"/>
      <c r="M224" s="264">
        <v>1</v>
      </c>
      <c r="N224" s="626"/>
      <c r="O224" s="626"/>
      <c r="P224" s="619">
        <f t="shared" si="31"/>
        <v>0</v>
      </c>
      <c r="Q224" s="619"/>
      <c r="R224" s="619"/>
      <c r="S224" s="619"/>
      <c r="T224" s="6"/>
      <c r="U224" s="142"/>
    </row>
    <row r="225" spans="2:21" s="143" customFormat="1" ht="12.75">
      <c r="B225" s="139"/>
      <c r="C225" s="258"/>
      <c r="D225" s="140" t="s">
        <v>2229</v>
      </c>
      <c r="E225" s="259"/>
      <c r="F225" s="140"/>
      <c r="G225" s="140"/>
      <c r="H225" s="140"/>
      <c r="I225" s="140"/>
      <c r="J225" s="140"/>
      <c r="K225" s="140"/>
      <c r="L225" s="140"/>
      <c r="M225" s="140"/>
      <c r="N225" s="186"/>
      <c r="O225" s="186"/>
      <c r="P225" s="633">
        <f>SUM(P226:S240)</f>
        <v>0</v>
      </c>
      <c r="Q225" s="633"/>
      <c r="R225" s="633"/>
      <c r="S225" s="633"/>
      <c r="T225" s="141"/>
      <c r="U225" s="142"/>
    </row>
    <row r="226" spans="2:21" ht="13.5" outlineLevel="1">
      <c r="B226" s="5"/>
      <c r="C226" s="261"/>
      <c r="D226" s="261"/>
      <c r="E226" s="262" t="s">
        <v>2238</v>
      </c>
      <c r="F226" s="661" t="s">
        <v>2239</v>
      </c>
      <c r="G226" s="662"/>
      <c r="H226" s="662"/>
      <c r="I226" s="663"/>
      <c r="J226" s="263" t="s">
        <v>70</v>
      </c>
      <c r="K226" s="264"/>
      <c r="L226" s="264"/>
      <c r="M226" s="264">
        <v>32</v>
      </c>
      <c r="N226" s="626"/>
      <c r="O226" s="626"/>
      <c r="P226" s="619">
        <f>ROUND(N226*M226,2)</f>
        <v>0</v>
      </c>
      <c r="Q226" s="619"/>
      <c r="R226" s="619"/>
      <c r="S226" s="619"/>
      <c r="T226" s="6"/>
      <c r="U226" s="142"/>
    </row>
    <row r="227" spans="2:21" ht="13.5" outlineLevel="1">
      <c r="B227" s="5"/>
      <c r="C227" s="261"/>
      <c r="D227" s="261"/>
      <c r="E227" s="262" t="s">
        <v>2240</v>
      </c>
      <c r="F227" s="661" t="s">
        <v>2241</v>
      </c>
      <c r="G227" s="662"/>
      <c r="H227" s="662"/>
      <c r="I227" s="663"/>
      <c r="J227" s="263" t="s">
        <v>69</v>
      </c>
      <c r="K227" s="264"/>
      <c r="L227" s="264"/>
      <c r="M227" s="264">
        <v>17</v>
      </c>
      <c r="N227" s="626"/>
      <c r="O227" s="626"/>
      <c r="P227" s="619">
        <f>ROUND(N227*M227,2)</f>
        <v>0</v>
      </c>
      <c r="Q227" s="619"/>
      <c r="R227" s="619"/>
      <c r="S227" s="619"/>
      <c r="T227" s="6"/>
      <c r="U227" s="142"/>
    </row>
    <row r="228" spans="2:22" ht="13.5" outlineLevel="1">
      <c r="B228" s="5"/>
      <c r="C228" s="261"/>
      <c r="D228" s="261"/>
      <c r="E228" s="262" t="s">
        <v>1955</v>
      </c>
      <c r="F228" s="661" t="s">
        <v>2242</v>
      </c>
      <c r="G228" s="662"/>
      <c r="H228" s="662"/>
      <c r="I228" s="663"/>
      <c r="J228" s="263" t="s">
        <v>69</v>
      </c>
      <c r="K228" s="264"/>
      <c r="L228" s="264"/>
      <c r="M228" s="264">
        <v>1</v>
      </c>
      <c r="N228" s="626"/>
      <c r="O228" s="626"/>
      <c r="P228" s="619">
        <f aca="true" t="shared" si="32" ref="P228:P238">ROUND(N228*M228,2)</f>
        <v>0</v>
      </c>
      <c r="Q228" s="619"/>
      <c r="R228" s="619"/>
      <c r="S228" s="619"/>
      <c r="T228" s="6"/>
      <c r="U228" s="142"/>
      <c r="V228" s="400"/>
    </row>
    <row r="229" spans="2:21" ht="13.5" outlineLevel="1">
      <c r="B229" s="5"/>
      <c r="C229" s="261"/>
      <c r="D229" s="261"/>
      <c r="E229" s="262" t="s">
        <v>2230</v>
      </c>
      <c r="F229" s="661" t="s">
        <v>2243</v>
      </c>
      <c r="G229" s="662"/>
      <c r="H229" s="662"/>
      <c r="I229" s="663"/>
      <c r="J229" s="263" t="s">
        <v>69</v>
      </c>
      <c r="K229" s="264"/>
      <c r="L229" s="264"/>
      <c r="M229" s="264">
        <v>1</v>
      </c>
      <c r="N229" s="626"/>
      <c r="O229" s="626"/>
      <c r="P229" s="619">
        <f t="shared" si="32"/>
        <v>0</v>
      </c>
      <c r="Q229" s="619"/>
      <c r="R229" s="619"/>
      <c r="S229" s="619"/>
      <c r="T229" s="6"/>
      <c r="U229" s="142"/>
    </row>
    <row r="230" spans="2:21" ht="13.5" outlineLevel="1">
      <c r="B230" s="5"/>
      <c r="C230" s="261"/>
      <c r="D230" s="261"/>
      <c r="E230" s="262" t="s">
        <v>2231</v>
      </c>
      <c r="F230" s="661" t="s">
        <v>2244</v>
      </c>
      <c r="G230" s="662"/>
      <c r="H230" s="662"/>
      <c r="I230" s="663"/>
      <c r="J230" s="263" t="s">
        <v>69</v>
      </c>
      <c r="K230" s="264"/>
      <c r="L230" s="264"/>
      <c r="M230" s="264">
        <v>2</v>
      </c>
      <c r="N230" s="626"/>
      <c r="O230" s="626"/>
      <c r="P230" s="619">
        <f t="shared" si="32"/>
        <v>0</v>
      </c>
      <c r="Q230" s="619"/>
      <c r="R230" s="619"/>
      <c r="S230" s="619"/>
      <c r="T230" s="6"/>
      <c r="U230" s="142"/>
    </row>
    <row r="231" spans="2:21" ht="13.5" outlineLevel="1">
      <c r="B231" s="5"/>
      <c r="C231" s="261"/>
      <c r="D231" s="261"/>
      <c r="E231" s="262" t="s">
        <v>2232</v>
      </c>
      <c r="F231" s="661" t="s">
        <v>2245</v>
      </c>
      <c r="G231" s="662"/>
      <c r="H231" s="662"/>
      <c r="I231" s="663"/>
      <c r="J231" s="263" t="s">
        <v>69</v>
      </c>
      <c r="K231" s="264"/>
      <c r="L231" s="264"/>
      <c r="M231" s="264">
        <v>2</v>
      </c>
      <c r="N231" s="626"/>
      <c r="O231" s="626"/>
      <c r="P231" s="619">
        <f t="shared" si="32"/>
        <v>0</v>
      </c>
      <c r="Q231" s="619"/>
      <c r="R231" s="619"/>
      <c r="S231" s="619"/>
      <c r="T231" s="6"/>
      <c r="U231" s="142"/>
    </row>
    <row r="232" spans="2:21" ht="13.5" outlineLevel="1">
      <c r="B232" s="5"/>
      <c r="C232" s="261"/>
      <c r="D232" s="261"/>
      <c r="E232" s="262" t="s">
        <v>2233</v>
      </c>
      <c r="F232" s="661" t="s">
        <v>2246</v>
      </c>
      <c r="G232" s="662"/>
      <c r="H232" s="662"/>
      <c r="I232" s="663"/>
      <c r="J232" s="263" t="s">
        <v>69</v>
      </c>
      <c r="K232" s="264"/>
      <c r="L232" s="264"/>
      <c r="M232" s="264">
        <v>1</v>
      </c>
      <c r="N232" s="626"/>
      <c r="O232" s="626"/>
      <c r="P232" s="619">
        <f t="shared" si="32"/>
        <v>0</v>
      </c>
      <c r="Q232" s="619"/>
      <c r="R232" s="619"/>
      <c r="S232" s="619"/>
      <c r="T232" s="6"/>
      <c r="U232" s="142"/>
    </row>
    <row r="233" spans="2:21" ht="13.5" outlineLevel="1">
      <c r="B233" s="5"/>
      <c r="C233" s="261"/>
      <c r="D233" s="261"/>
      <c r="E233" s="262" t="s">
        <v>2234</v>
      </c>
      <c r="F233" s="661" t="s">
        <v>2247</v>
      </c>
      <c r="G233" s="662"/>
      <c r="H233" s="662"/>
      <c r="I233" s="663"/>
      <c r="J233" s="263" t="s">
        <v>69</v>
      </c>
      <c r="K233" s="264"/>
      <c r="L233" s="264"/>
      <c r="M233" s="264">
        <v>1</v>
      </c>
      <c r="N233" s="626"/>
      <c r="O233" s="626"/>
      <c r="P233" s="619">
        <f t="shared" si="32"/>
        <v>0</v>
      </c>
      <c r="Q233" s="619"/>
      <c r="R233" s="619"/>
      <c r="S233" s="619"/>
      <c r="T233" s="6"/>
      <c r="U233" s="142"/>
    </row>
    <row r="234" spans="2:21" ht="13.5" outlineLevel="1">
      <c r="B234" s="5"/>
      <c r="C234" s="261"/>
      <c r="D234" s="261"/>
      <c r="E234" s="262" t="s">
        <v>2248</v>
      </c>
      <c r="F234" s="661" t="s">
        <v>2249</v>
      </c>
      <c r="G234" s="662"/>
      <c r="H234" s="662"/>
      <c r="I234" s="663"/>
      <c r="J234" s="263" t="s">
        <v>69</v>
      </c>
      <c r="K234" s="264"/>
      <c r="L234" s="264"/>
      <c r="M234" s="264">
        <v>1</v>
      </c>
      <c r="N234" s="626"/>
      <c r="O234" s="626"/>
      <c r="P234" s="619">
        <f t="shared" si="32"/>
        <v>0</v>
      </c>
      <c r="Q234" s="619"/>
      <c r="R234" s="619"/>
      <c r="S234" s="619"/>
      <c r="T234" s="6"/>
      <c r="U234" s="142"/>
    </row>
    <row r="235" spans="2:21" ht="13.5" outlineLevel="1">
      <c r="B235" s="5"/>
      <c r="C235" s="261"/>
      <c r="D235" s="261"/>
      <c r="E235" s="262" t="s">
        <v>2250</v>
      </c>
      <c r="F235" s="661" t="s">
        <v>2252</v>
      </c>
      <c r="G235" s="662"/>
      <c r="H235" s="662"/>
      <c r="I235" s="663"/>
      <c r="J235" s="263" t="s">
        <v>69</v>
      </c>
      <c r="K235" s="264"/>
      <c r="L235" s="264"/>
      <c r="M235" s="264">
        <v>1</v>
      </c>
      <c r="N235" s="626"/>
      <c r="O235" s="626"/>
      <c r="P235" s="619">
        <f aca="true" t="shared" si="33" ref="P235:P236">ROUND(N235*M235,2)</f>
        <v>0</v>
      </c>
      <c r="Q235" s="619"/>
      <c r="R235" s="619"/>
      <c r="S235" s="619"/>
      <c r="T235" s="6"/>
      <c r="U235" s="142"/>
    </row>
    <row r="236" spans="2:21" ht="13.5" outlineLevel="1">
      <c r="B236" s="5"/>
      <c r="C236" s="261"/>
      <c r="D236" s="261"/>
      <c r="E236" s="262" t="s">
        <v>2251</v>
      </c>
      <c r="F236" s="661" t="s">
        <v>2253</v>
      </c>
      <c r="G236" s="662"/>
      <c r="H236" s="662"/>
      <c r="I236" s="663"/>
      <c r="J236" s="263" t="s">
        <v>69</v>
      </c>
      <c r="K236" s="264"/>
      <c r="L236" s="264"/>
      <c r="M236" s="264">
        <v>3</v>
      </c>
      <c r="N236" s="626"/>
      <c r="O236" s="626"/>
      <c r="P236" s="619">
        <f t="shared" si="33"/>
        <v>0</v>
      </c>
      <c r="Q236" s="619"/>
      <c r="R236" s="619"/>
      <c r="S236" s="619"/>
      <c r="T236" s="6"/>
      <c r="U236" s="142"/>
    </row>
    <row r="237" spans="2:21" ht="13.5" outlineLevel="1">
      <c r="B237" s="5"/>
      <c r="C237" s="261"/>
      <c r="D237" s="261"/>
      <c r="E237" s="262" t="s">
        <v>2235</v>
      </c>
      <c r="F237" s="661" t="s">
        <v>2254</v>
      </c>
      <c r="G237" s="662"/>
      <c r="H237" s="662"/>
      <c r="I237" s="663"/>
      <c r="J237" s="263" t="s">
        <v>69</v>
      </c>
      <c r="K237" s="264"/>
      <c r="L237" s="264"/>
      <c r="M237" s="264">
        <v>1</v>
      </c>
      <c r="N237" s="626"/>
      <c r="O237" s="626"/>
      <c r="P237" s="619">
        <f t="shared" si="32"/>
        <v>0</v>
      </c>
      <c r="Q237" s="619"/>
      <c r="R237" s="619"/>
      <c r="S237" s="619"/>
      <c r="T237" s="6"/>
      <c r="U237" s="142"/>
    </row>
    <row r="238" spans="2:21" ht="13.5" outlineLevel="1">
      <c r="B238" s="5"/>
      <c r="C238" s="261"/>
      <c r="D238" s="261"/>
      <c r="E238" s="262" t="s">
        <v>2236</v>
      </c>
      <c r="F238" s="661" t="s">
        <v>2255</v>
      </c>
      <c r="G238" s="662"/>
      <c r="H238" s="662"/>
      <c r="I238" s="663"/>
      <c r="J238" s="263" t="s">
        <v>69</v>
      </c>
      <c r="K238" s="264"/>
      <c r="L238" s="264"/>
      <c r="M238" s="264">
        <v>1</v>
      </c>
      <c r="N238" s="626"/>
      <c r="O238" s="626"/>
      <c r="P238" s="619">
        <f t="shared" si="32"/>
        <v>0</v>
      </c>
      <c r="Q238" s="619"/>
      <c r="R238" s="619"/>
      <c r="S238" s="619"/>
      <c r="T238" s="6"/>
      <c r="U238" s="142"/>
    </row>
    <row r="239" spans="2:21" ht="13.5" outlineLevel="1">
      <c r="B239" s="5"/>
      <c r="C239" s="261"/>
      <c r="D239" s="261"/>
      <c r="E239" s="262" t="s">
        <v>2237</v>
      </c>
      <c r="F239" s="661" t="s">
        <v>2256</v>
      </c>
      <c r="G239" s="662"/>
      <c r="H239" s="662"/>
      <c r="I239" s="663"/>
      <c r="J239" s="263" t="s">
        <v>69</v>
      </c>
      <c r="K239" s="264"/>
      <c r="L239" s="264"/>
      <c r="M239" s="264">
        <v>1</v>
      </c>
      <c r="N239" s="626"/>
      <c r="O239" s="626"/>
      <c r="P239" s="619">
        <f>ROUND(N239*M239,2)</f>
        <v>0</v>
      </c>
      <c r="Q239" s="619"/>
      <c r="R239" s="619"/>
      <c r="S239" s="619"/>
      <c r="T239" s="6"/>
      <c r="U239" s="142"/>
    </row>
    <row r="240" spans="2:21" ht="13.5" outlineLevel="1">
      <c r="B240" s="5"/>
      <c r="C240" s="261"/>
      <c r="D240" s="261"/>
      <c r="E240" s="262" t="s">
        <v>2341</v>
      </c>
      <c r="F240" s="661" t="s">
        <v>2342</v>
      </c>
      <c r="G240" s="662"/>
      <c r="H240" s="662"/>
      <c r="I240" s="663"/>
      <c r="J240" s="263" t="s">
        <v>69</v>
      </c>
      <c r="K240" s="264"/>
      <c r="L240" s="264"/>
      <c r="M240" s="264">
        <v>3</v>
      </c>
      <c r="N240" s="626"/>
      <c r="O240" s="626"/>
      <c r="P240" s="619">
        <f>ROUND(N240*M240,2)</f>
        <v>0</v>
      </c>
      <c r="Q240" s="619"/>
      <c r="R240" s="619"/>
      <c r="S240" s="619"/>
      <c r="T240" s="6"/>
      <c r="U240" s="142"/>
    </row>
    <row r="241" spans="2:21" ht="13.5">
      <c r="B241" s="32"/>
      <c r="C241" s="33"/>
      <c r="D241" s="33"/>
      <c r="E241" s="255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4"/>
      <c r="U241" s="142"/>
    </row>
    <row r="242" ht="13.5">
      <c r="U242" s="142"/>
    </row>
    <row r="243" ht="13.5">
      <c r="U243" s="142"/>
    </row>
    <row r="244" ht="13.5">
      <c r="U244" s="142"/>
    </row>
  </sheetData>
  <mergeCells count="417">
    <mergeCell ref="F240:I240"/>
    <mergeCell ref="N240:O240"/>
    <mergeCell ref="P240:S240"/>
    <mergeCell ref="F233:I233"/>
    <mergeCell ref="N233:O233"/>
    <mergeCell ref="P233:S233"/>
    <mergeCell ref="F234:I234"/>
    <mergeCell ref="N234:O234"/>
    <mergeCell ref="P234:S234"/>
    <mergeCell ref="F237:I237"/>
    <mergeCell ref="N237:O237"/>
    <mergeCell ref="P237:S237"/>
    <mergeCell ref="F235:I235"/>
    <mergeCell ref="N235:O235"/>
    <mergeCell ref="P235:S235"/>
    <mergeCell ref="F236:I236"/>
    <mergeCell ref="N236:O236"/>
    <mergeCell ref="P236:S236"/>
    <mergeCell ref="F239:I239"/>
    <mergeCell ref="N239:O239"/>
    <mergeCell ref="P239:S239"/>
    <mergeCell ref="F229:I229"/>
    <mergeCell ref="N229:O229"/>
    <mergeCell ref="P229:S229"/>
    <mergeCell ref="P226:S226"/>
    <mergeCell ref="F238:I238"/>
    <mergeCell ref="N238:O238"/>
    <mergeCell ref="P238:S238"/>
    <mergeCell ref="F227:I227"/>
    <mergeCell ref="N227:O227"/>
    <mergeCell ref="P227:S227"/>
    <mergeCell ref="F230:I230"/>
    <mergeCell ref="N230:O230"/>
    <mergeCell ref="P230:S230"/>
    <mergeCell ref="F231:I231"/>
    <mergeCell ref="N231:O231"/>
    <mergeCell ref="P231:S231"/>
    <mergeCell ref="F232:I232"/>
    <mergeCell ref="N232:O232"/>
    <mergeCell ref="P232:S232"/>
    <mergeCell ref="F228:I228"/>
    <mergeCell ref="N228:O228"/>
    <mergeCell ref="P228:S228"/>
    <mergeCell ref="N207:O207"/>
    <mergeCell ref="P207:S207"/>
    <mergeCell ref="F208:I208"/>
    <mergeCell ref="N208:O208"/>
    <mergeCell ref="P208:S208"/>
    <mergeCell ref="F214:I214"/>
    <mergeCell ref="N214:O214"/>
    <mergeCell ref="P214:S214"/>
    <mergeCell ref="F215:I215"/>
    <mergeCell ref="N215:O215"/>
    <mergeCell ref="P215:S215"/>
    <mergeCell ref="N221:O221"/>
    <mergeCell ref="P221:S221"/>
    <mergeCell ref="F222:I222"/>
    <mergeCell ref="N222:O222"/>
    <mergeCell ref="P222:S222"/>
    <mergeCell ref="F219:I219"/>
    <mergeCell ref="N219:O219"/>
    <mergeCell ref="P219:S219"/>
    <mergeCell ref="F226:I226"/>
    <mergeCell ref="P220:S220"/>
    <mergeCell ref="F221:I221"/>
    <mergeCell ref="F223:I223"/>
    <mergeCell ref="N223:O223"/>
    <mergeCell ref="P223:S223"/>
    <mergeCell ref="F224:I224"/>
    <mergeCell ref="N224:O224"/>
    <mergeCell ref="P224:S224"/>
    <mergeCell ref="N226:O226"/>
    <mergeCell ref="P225:S225"/>
    <mergeCell ref="F216:I216"/>
    <mergeCell ref="N216:O216"/>
    <mergeCell ref="P216:S216"/>
    <mergeCell ref="F212:I212"/>
    <mergeCell ref="N212:O212"/>
    <mergeCell ref="P212:S212"/>
    <mergeCell ref="F209:I209"/>
    <mergeCell ref="N209:O209"/>
    <mergeCell ref="P209:S209"/>
    <mergeCell ref="F210:I210"/>
    <mergeCell ref="N210:O210"/>
    <mergeCell ref="P210:S210"/>
    <mergeCell ref="F211:I211"/>
    <mergeCell ref="N211:O211"/>
    <mergeCell ref="P211:S211"/>
    <mergeCell ref="N200:O200"/>
    <mergeCell ref="P200:S200"/>
    <mergeCell ref="F201:I201"/>
    <mergeCell ref="N201:O201"/>
    <mergeCell ref="P201:S201"/>
    <mergeCell ref="F205:I205"/>
    <mergeCell ref="N205:O205"/>
    <mergeCell ref="P205:S205"/>
    <mergeCell ref="F213:I213"/>
    <mergeCell ref="N213:O213"/>
    <mergeCell ref="P213:S213"/>
    <mergeCell ref="F206:I206"/>
    <mergeCell ref="N206:O206"/>
    <mergeCell ref="P206:S206"/>
    <mergeCell ref="F202:I202"/>
    <mergeCell ref="N202:O202"/>
    <mergeCell ref="P202:S202"/>
    <mergeCell ref="F203:I203"/>
    <mergeCell ref="N203:O203"/>
    <mergeCell ref="P203:S203"/>
    <mergeCell ref="F204:I204"/>
    <mergeCell ref="N204:O204"/>
    <mergeCell ref="P204:S204"/>
    <mergeCell ref="F207:I207"/>
    <mergeCell ref="F188:I188"/>
    <mergeCell ref="N188:O188"/>
    <mergeCell ref="P188:S188"/>
    <mergeCell ref="F180:I180"/>
    <mergeCell ref="N180:O180"/>
    <mergeCell ref="P180:S180"/>
    <mergeCell ref="F183:I183"/>
    <mergeCell ref="N183:O183"/>
    <mergeCell ref="P183:S183"/>
    <mergeCell ref="F184:I184"/>
    <mergeCell ref="N184:O184"/>
    <mergeCell ref="P184:S184"/>
    <mergeCell ref="F185:I185"/>
    <mergeCell ref="N185:O185"/>
    <mergeCell ref="P185:S185"/>
    <mergeCell ref="F186:I186"/>
    <mergeCell ref="N186:O186"/>
    <mergeCell ref="P186:S186"/>
    <mergeCell ref="F181:I181"/>
    <mergeCell ref="N181:O181"/>
    <mergeCell ref="P181:S181"/>
    <mergeCell ref="F182:I182"/>
    <mergeCell ref="N182:O182"/>
    <mergeCell ref="P182:S182"/>
    <mergeCell ref="F187:I187"/>
    <mergeCell ref="N187:O187"/>
    <mergeCell ref="P187:S187"/>
    <mergeCell ref="F177:I177"/>
    <mergeCell ref="N177:O177"/>
    <mergeCell ref="P177:S177"/>
    <mergeCell ref="F178:I178"/>
    <mergeCell ref="N178:O178"/>
    <mergeCell ref="P178:S178"/>
    <mergeCell ref="F179:I179"/>
    <mergeCell ref="N179:O179"/>
    <mergeCell ref="P179:S179"/>
    <mergeCell ref="C2:S2"/>
    <mergeCell ref="F4:R4"/>
    <mergeCell ref="F5:R5"/>
    <mergeCell ref="Q7:R7"/>
    <mergeCell ref="Q9:R9"/>
    <mergeCell ref="Q10:R10"/>
    <mergeCell ref="F192:I192"/>
    <mergeCell ref="N192:O192"/>
    <mergeCell ref="P192:S192"/>
    <mergeCell ref="Q19:R19"/>
    <mergeCell ref="Q21:R21"/>
    <mergeCell ref="E22:R22"/>
    <mergeCell ref="D25:E25"/>
    <mergeCell ref="G25:R25"/>
    <mergeCell ref="D26:E26"/>
    <mergeCell ref="G26:R26"/>
    <mergeCell ref="F12:I12"/>
    <mergeCell ref="Q12:R12"/>
    <mergeCell ref="Q13:R13"/>
    <mergeCell ref="Q15:R15"/>
    <mergeCell ref="Q16:R16"/>
    <mergeCell ref="Q18:R18"/>
    <mergeCell ref="N36:R36"/>
    <mergeCell ref="C74:S74"/>
    <mergeCell ref="F76:R76"/>
    <mergeCell ref="F77:R77"/>
    <mergeCell ref="O79:R79"/>
    <mergeCell ref="O81:S81"/>
    <mergeCell ref="O29:R29"/>
    <mergeCell ref="O31:R31"/>
    <mergeCell ref="H33:J33"/>
    <mergeCell ref="O33:R33"/>
    <mergeCell ref="H34:J34"/>
    <mergeCell ref="O34:R34"/>
    <mergeCell ref="P90:S90"/>
    <mergeCell ref="P91:S91"/>
    <mergeCell ref="P92:S92"/>
    <mergeCell ref="P94:S94"/>
    <mergeCell ref="N96:S96"/>
    <mergeCell ref="C102:S102"/>
    <mergeCell ref="O82:S82"/>
    <mergeCell ref="F84:R84"/>
    <mergeCell ref="C86:G86"/>
    <mergeCell ref="P86:S86"/>
    <mergeCell ref="P88:S88"/>
    <mergeCell ref="P89:S89"/>
    <mergeCell ref="P93:S93"/>
    <mergeCell ref="F114:I114"/>
    <mergeCell ref="N114:O114"/>
    <mergeCell ref="P114:S114"/>
    <mergeCell ref="P115:S115"/>
    <mergeCell ref="P116:S116"/>
    <mergeCell ref="F118:I118"/>
    <mergeCell ref="N118:O118"/>
    <mergeCell ref="P118:S118"/>
    <mergeCell ref="F104:R104"/>
    <mergeCell ref="F105:R105"/>
    <mergeCell ref="O107:R107"/>
    <mergeCell ref="O109:S109"/>
    <mergeCell ref="O110:S110"/>
    <mergeCell ref="F112:R112"/>
    <mergeCell ref="N117:O117"/>
    <mergeCell ref="P117:S117"/>
    <mergeCell ref="E117:I117"/>
    <mergeCell ref="F175:I175"/>
    <mergeCell ref="N175:O175"/>
    <mergeCell ref="P175:S175"/>
    <mergeCell ref="P174:S174"/>
    <mergeCell ref="F176:I176"/>
    <mergeCell ref="N176:O176"/>
    <mergeCell ref="P176:S176"/>
    <mergeCell ref="F153:I153"/>
    <mergeCell ref="N153:O153"/>
    <mergeCell ref="P153:S153"/>
    <mergeCell ref="F155:I155"/>
    <mergeCell ref="N155:O155"/>
    <mergeCell ref="P155:S155"/>
    <mergeCell ref="F156:I156"/>
    <mergeCell ref="N156:O156"/>
    <mergeCell ref="F154:I154"/>
    <mergeCell ref="N154:O154"/>
    <mergeCell ref="P154:S154"/>
    <mergeCell ref="P156:S156"/>
    <mergeCell ref="F157:I157"/>
    <mergeCell ref="N157:O157"/>
    <mergeCell ref="P157:S157"/>
    <mergeCell ref="F158:I158"/>
    <mergeCell ref="N158:O158"/>
    <mergeCell ref="P193:S193"/>
    <mergeCell ref="F194:I194"/>
    <mergeCell ref="N194:O194"/>
    <mergeCell ref="P194:S194"/>
    <mergeCell ref="F191:I191"/>
    <mergeCell ref="N191:O191"/>
    <mergeCell ref="P191:S191"/>
    <mergeCell ref="F196:I196"/>
    <mergeCell ref="N196:O196"/>
    <mergeCell ref="P196:S196"/>
    <mergeCell ref="F195:I195"/>
    <mergeCell ref="N195:O195"/>
    <mergeCell ref="P195:S195"/>
    <mergeCell ref="F197:I197"/>
    <mergeCell ref="N197:O197"/>
    <mergeCell ref="P197:S197"/>
    <mergeCell ref="F198:I198"/>
    <mergeCell ref="N198:O198"/>
    <mergeCell ref="P198:S198"/>
    <mergeCell ref="F199:I199"/>
    <mergeCell ref="N199:O199"/>
    <mergeCell ref="P199:S199"/>
    <mergeCell ref="F200:I200"/>
    <mergeCell ref="F119:I119"/>
    <mergeCell ref="N119:O119"/>
    <mergeCell ref="P119:S119"/>
    <mergeCell ref="F120:I120"/>
    <mergeCell ref="N120:O120"/>
    <mergeCell ref="P120:S120"/>
    <mergeCell ref="F121:I121"/>
    <mergeCell ref="N121:O121"/>
    <mergeCell ref="P121:S121"/>
    <mergeCell ref="F128:I128"/>
    <mergeCell ref="N128:O128"/>
    <mergeCell ref="P128:S128"/>
    <mergeCell ref="F129:I129"/>
    <mergeCell ref="N129:O129"/>
    <mergeCell ref="P129:S129"/>
    <mergeCell ref="F123:I123"/>
    <mergeCell ref="N123:O123"/>
    <mergeCell ref="P123:S123"/>
    <mergeCell ref="F124:I124"/>
    <mergeCell ref="N124:O124"/>
    <mergeCell ref="P124:S124"/>
    <mergeCell ref="F126:I126"/>
    <mergeCell ref="N126:O126"/>
    <mergeCell ref="P126:S126"/>
    <mergeCell ref="E122:I122"/>
    <mergeCell ref="N122:O122"/>
    <mergeCell ref="P122:S122"/>
    <mergeCell ref="E125:I125"/>
    <mergeCell ref="N125:O125"/>
    <mergeCell ref="P125:S125"/>
    <mergeCell ref="F127:I127"/>
    <mergeCell ref="N127:O127"/>
    <mergeCell ref="P127:S127"/>
    <mergeCell ref="F139:I139"/>
    <mergeCell ref="N139:O139"/>
    <mergeCell ref="P139:S139"/>
    <mergeCell ref="E136:I136"/>
    <mergeCell ref="N136:O136"/>
    <mergeCell ref="P136:S136"/>
    <mergeCell ref="F130:I130"/>
    <mergeCell ref="N130:O130"/>
    <mergeCell ref="P130:S130"/>
    <mergeCell ref="F133:I133"/>
    <mergeCell ref="N133:O133"/>
    <mergeCell ref="P133:S133"/>
    <mergeCell ref="F134:I134"/>
    <mergeCell ref="N134:O134"/>
    <mergeCell ref="P134:S134"/>
    <mergeCell ref="F132:I132"/>
    <mergeCell ref="N132:O132"/>
    <mergeCell ref="P132:S132"/>
    <mergeCell ref="E131:I131"/>
    <mergeCell ref="N131:O131"/>
    <mergeCell ref="P131:S131"/>
    <mergeCell ref="F137:I137"/>
    <mergeCell ref="N137:O137"/>
    <mergeCell ref="P137:S137"/>
    <mergeCell ref="F138:I138"/>
    <mergeCell ref="N138:O138"/>
    <mergeCell ref="P138:S138"/>
    <mergeCell ref="F135:I135"/>
    <mergeCell ref="N135:O135"/>
    <mergeCell ref="P135:S135"/>
    <mergeCell ref="F152:I152"/>
    <mergeCell ref="N152:O152"/>
    <mergeCell ref="P152:S152"/>
    <mergeCell ref="F146:I146"/>
    <mergeCell ref="N146:O146"/>
    <mergeCell ref="P146:S146"/>
    <mergeCell ref="F147:I147"/>
    <mergeCell ref="N147:O147"/>
    <mergeCell ref="P147:S147"/>
    <mergeCell ref="F150:I150"/>
    <mergeCell ref="N150:O150"/>
    <mergeCell ref="P150:S150"/>
    <mergeCell ref="E149:I149"/>
    <mergeCell ref="N149:O149"/>
    <mergeCell ref="P149:S149"/>
    <mergeCell ref="F151:I151"/>
    <mergeCell ref="N151:O151"/>
    <mergeCell ref="P151:S151"/>
    <mergeCell ref="P148:S148"/>
    <mergeCell ref="E145:I145"/>
    <mergeCell ref="N145:O145"/>
    <mergeCell ref="P145:S145"/>
    <mergeCell ref="F140:I140"/>
    <mergeCell ref="N140:O140"/>
    <mergeCell ref="P140:S140"/>
    <mergeCell ref="F141:I141"/>
    <mergeCell ref="N141:O141"/>
    <mergeCell ref="P141:S141"/>
    <mergeCell ref="F142:I142"/>
    <mergeCell ref="N142:O142"/>
    <mergeCell ref="P142:S142"/>
    <mergeCell ref="F143:I143"/>
    <mergeCell ref="N143:O143"/>
    <mergeCell ref="P143:S143"/>
    <mergeCell ref="F144:I144"/>
    <mergeCell ref="N144:O144"/>
    <mergeCell ref="P144:S144"/>
    <mergeCell ref="P158:S158"/>
    <mergeCell ref="F160:I160"/>
    <mergeCell ref="N160:O160"/>
    <mergeCell ref="P160:S160"/>
    <mergeCell ref="F161:I161"/>
    <mergeCell ref="N161:O161"/>
    <mergeCell ref="P161:S161"/>
    <mergeCell ref="F162:I162"/>
    <mergeCell ref="N162:O162"/>
    <mergeCell ref="P162:S162"/>
    <mergeCell ref="E159:I159"/>
    <mergeCell ref="N159:O159"/>
    <mergeCell ref="P159:S159"/>
    <mergeCell ref="F168:I168"/>
    <mergeCell ref="N168:O168"/>
    <mergeCell ref="F163:I163"/>
    <mergeCell ref="N163:O163"/>
    <mergeCell ref="P163:S163"/>
    <mergeCell ref="P168:S168"/>
    <mergeCell ref="F169:I169"/>
    <mergeCell ref="N169:O169"/>
    <mergeCell ref="P169:S169"/>
    <mergeCell ref="F164:I164"/>
    <mergeCell ref="N164:O164"/>
    <mergeCell ref="P164:S164"/>
    <mergeCell ref="F165:I165"/>
    <mergeCell ref="N165:O165"/>
    <mergeCell ref="P165:S165"/>
    <mergeCell ref="F167:I167"/>
    <mergeCell ref="N167:O167"/>
    <mergeCell ref="P167:S167"/>
    <mergeCell ref="E166:I166"/>
    <mergeCell ref="N166:O166"/>
    <mergeCell ref="P166:S166"/>
    <mergeCell ref="F217:I217"/>
    <mergeCell ref="N217:O217"/>
    <mergeCell ref="P217:S217"/>
    <mergeCell ref="F218:I218"/>
    <mergeCell ref="N218:O218"/>
    <mergeCell ref="P218:S218"/>
    <mergeCell ref="P170:S170"/>
    <mergeCell ref="F172:I172"/>
    <mergeCell ref="N172:O172"/>
    <mergeCell ref="P172:S172"/>
    <mergeCell ref="F173:I173"/>
    <mergeCell ref="N173:O173"/>
    <mergeCell ref="P173:S173"/>
    <mergeCell ref="F171:I171"/>
    <mergeCell ref="N171:O171"/>
    <mergeCell ref="P171:S171"/>
    <mergeCell ref="E170:I170"/>
    <mergeCell ref="N170:O170"/>
    <mergeCell ref="F189:I189"/>
    <mergeCell ref="N189:O189"/>
    <mergeCell ref="P189:S189"/>
    <mergeCell ref="F190:I190"/>
    <mergeCell ref="N190:O190"/>
    <mergeCell ref="P190:S19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Header>&amp;LBD Hübnerové&amp;ROdhad stavebních nákladů</oddHead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9"/>
  <sheetViews>
    <sheetView view="pageBreakPreview" zoomScaleSheetLayoutView="100" workbookViewId="0" topLeftCell="A1">
      <selection activeCell="A3" sqref="A3:F3"/>
    </sheetView>
  </sheetViews>
  <sheetFormatPr defaultColWidth="9.33203125" defaultRowHeight="13.5"/>
  <cols>
    <col min="1" max="1" width="56.83203125" style="103" customWidth="1"/>
    <col min="2" max="2" width="8" style="104" customWidth="1"/>
    <col min="3" max="3" width="14.5" style="105" customWidth="1"/>
    <col min="4" max="4" width="20.66015625" style="106" customWidth="1"/>
    <col min="5" max="5" width="22" style="106" customWidth="1"/>
    <col min="6" max="6" width="10.66015625" style="107" customWidth="1"/>
    <col min="7" max="7" width="2" style="54" customWidth="1"/>
    <col min="8" max="8" width="27.83203125" style="54" customWidth="1"/>
    <col min="9" max="256" width="9.33203125" style="54" customWidth="1"/>
    <col min="257" max="257" width="55.33203125" style="54" customWidth="1"/>
    <col min="258" max="258" width="8" style="54" customWidth="1"/>
    <col min="259" max="259" width="9.83203125" style="54" customWidth="1"/>
    <col min="260" max="260" width="11.33203125" style="54" customWidth="1"/>
    <col min="261" max="261" width="17.66015625" style="54" customWidth="1"/>
    <col min="262" max="262" width="10.66015625" style="54" customWidth="1"/>
    <col min="263" max="512" width="9.33203125" style="54" customWidth="1"/>
    <col min="513" max="513" width="55.33203125" style="54" customWidth="1"/>
    <col min="514" max="514" width="8" style="54" customWidth="1"/>
    <col min="515" max="515" width="9.83203125" style="54" customWidth="1"/>
    <col min="516" max="516" width="11.33203125" style="54" customWidth="1"/>
    <col min="517" max="517" width="17.66015625" style="54" customWidth="1"/>
    <col min="518" max="518" width="10.66015625" style="54" customWidth="1"/>
    <col min="519" max="768" width="9.33203125" style="54" customWidth="1"/>
    <col min="769" max="769" width="55.33203125" style="54" customWidth="1"/>
    <col min="770" max="770" width="8" style="54" customWidth="1"/>
    <col min="771" max="771" width="9.83203125" style="54" customWidth="1"/>
    <col min="772" max="772" width="11.33203125" style="54" customWidth="1"/>
    <col min="773" max="773" width="17.66015625" style="54" customWidth="1"/>
    <col min="774" max="774" width="10.66015625" style="54" customWidth="1"/>
    <col min="775" max="1024" width="9.33203125" style="54" customWidth="1"/>
    <col min="1025" max="1025" width="55.33203125" style="54" customWidth="1"/>
    <col min="1026" max="1026" width="8" style="54" customWidth="1"/>
    <col min="1027" max="1027" width="9.83203125" style="54" customWidth="1"/>
    <col min="1028" max="1028" width="11.33203125" style="54" customWidth="1"/>
    <col min="1029" max="1029" width="17.66015625" style="54" customWidth="1"/>
    <col min="1030" max="1030" width="10.66015625" style="54" customWidth="1"/>
    <col min="1031" max="1280" width="9.33203125" style="54" customWidth="1"/>
    <col min="1281" max="1281" width="55.33203125" style="54" customWidth="1"/>
    <col min="1282" max="1282" width="8" style="54" customWidth="1"/>
    <col min="1283" max="1283" width="9.83203125" style="54" customWidth="1"/>
    <col min="1284" max="1284" width="11.33203125" style="54" customWidth="1"/>
    <col min="1285" max="1285" width="17.66015625" style="54" customWidth="1"/>
    <col min="1286" max="1286" width="10.66015625" style="54" customWidth="1"/>
    <col min="1287" max="1536" width="9.33203125" style="54" customWidth="1"/>
    <col min="1537" max="1537" width="55.33203125" style="54" customWidth="1"/>
    <col min="1538" max="1538" width="8" style="54" customWidth="1"/>
    <col min="1539" max="1539" width="9.83203125" style="54" customWidth="1"/>
    <col min="1540" max="1540" width="11.33203125" style="54" customWidth="1"/>
    <col min="1541" max="1541" width="17.66015625" style="54" customWidth="1"/>
    <col min="1542" max="1542" width="10.66015625" style="54" customWidth="1"/>
    <col min="1543" max="1792" width="9.33203125" style="54" customWidth="1"/>
    <col min="1793" max="1793" width="55.33203125" style="54" customWidth="1"/>
    <col min="1794" max="1794" width="8" style="54" customWidth="1"/>
    <col min="1795" max="1795" width="9.83203125" style="54" customWidth="1"/>
    <col min="1796" max="1796" width="11.33203125" style="54" customWidth="1"/>
    <col min="1797" max="1797" width="17.66015625" style="54" customWidth="1"/>
    <col min="1798" max="1798" width="10.66015625" style="54" customWidth="1"/>
    <col min="1799" max="2048" width="9.33203125" style="54" customWidth="1"/>
    <col min="2049" max="2049" width="55.33203125" style="54" customWidth="1"/>
    <col min="2050" max="2050" width="8" style="54" customWidth="1"/>
    <col min="2051" max="2051" width="9.83203125" style="54" customWidth="1"/>
    <col min="2052" max="2052" width="11.33203125" style="54" customWidth="1"/>
    <col min="2053" max="2053" width="17.66015625" style="54" customWidth="1"/>
    <col min="2054" max="2054" width="10.66015625" style="54" customWidth="1"/>
    <col min="2055" max="2304" width="9.33203125" style="54" customWidth="1"/>
    <col min="2305" max="2305" width="55.33203125" style="54" customWidth="1"/>
    <col min="2306" max="2306" width="8" style="54" customWidth="1"/>
    <col min="2307" max="2307" width="9.83203125" style="54" customWidth="1"/>
    <col min="2308" max="2308" width="11.33203125" style="54" customWidth="1"/>
    <col min="2309" max="2309" width="17.66015625" style="54" customWidth="1"/>
    <col min="2310" max="2310" width="10.66015625" style="54" customWidth="1"/>
    <col min="2311" max="2560" width="9.33203125" style="54" customWidth="1"/>
    <col min="2561" max="2561" width="55.33203125" style="54" customWidth="1"/>
    <col min="2562" max="2562" width="8" style="54" customWidth="1"/>
    <col min="2563" max="2563" width="9.83203125" style="54" customWidth="1"/>
    <col min="2564" max="2564" width="11.33203125" style="54" customWidth="1"/>
    <col min="2565" max="2565" width="17.66015625" style="54" customWidth="1"/>
    <col min="2566" max="2566" width="10.66015625" style="54" customWidth="1"/>
    <col min="2567" max="2816" width="9.33203125" style="54" customWidth="1"/>
    <col min="2817" max="2817" width="55.33203125" style="54" customWidth="1"/>
    <col min="2818" max="2818" width="8" style="54" customWidth="1"/>
    <col min="2819" max="2819" width="9.83203125" style="54" customWidth="1"/>
    <col min="2820" max="2820" width="11.33203125" style="54" customWidth="1"/>
    <col min="2821" max="2821" width="17.66015625" style="54" customWidth="1"/>
    <col min="2822" max="2822" width="10.66015625" style="54" customWidth="1"/>
    <col min="2823" max="3072" width="9.33203125" style="54" customWidth="1"/>
    <col min="3073" max="3073" width="55.33203125" style="54" customWidth="1"/>
    <col min="3074" max="3074" width="8" style="54" customWidth="1"/>
    <col min="3075" max="3075" width="9.83203125" style="54" customWidth="1"/>
    <col min="3076" max="3076" width="11.33203125" style="54" customWidth="1"/>
    <col min="3077" max="3077" width="17.66015625" style="54" customWidth="1"/>
    <col min="3078" max="3078" width="10.66015625" style="54" customWidth="1"/>
    <col min="3079" max="3328" width="9.33203125" style="54" customWidth="1"/>
    <col min="3329" max="3329" width="55.33203125" style="54" customWidth="1"/>
    <col min="3330" max="3330" width="8" style="54" customWidth="1"/>
    <col min="3331" max="3331" width="9.83203125" style="54" customWidth="1"/>
    <col min="3332" max="3332" width="11.33203125" style="54" customWidth="1"/>
    <col min="3333" max="3333" width="17.66015625" style="54" customWidth="1"/>
    <col min="3334" max="3334" width="10.66015625" style="54" customWidth="1"/>
    <col min="3335" max="3584" width="9.33203125" style="54" customWidth="1"/>
    <col min="3585" max="3585" width="55.33203125" style="54" customWidth="1"/>
    <col min="3586" max="3586" width="8" style="54" customWidth="1"/>
    <col min="3587" max="3587" width="9.83203125" style="54" customWidth="1"/>
    <col min="3588" max="3588" width="11.33203125" style="54" customWidth="1"/>
    <col min="3589" max="3589" width="17.66015625" style="54" customWidth="1"/>
    <col min="3590" max="3590" width="10.66015625" style="54" customWidth="1"/>
    <col min="3591" max="3840" width="9.33203125" style="54" customWidth="1"/>
    <col min="3841" max="3841" width="55.33203125" style="54" customWidth="1"/>
    <col min="3842" max="3842" width="8" style="54" customWidth="1"/>
    <col min="3843" max="3843" width="9.83203125" style="54" customWidth="1"/>
    <col min="3844" max="3844" width="11.33203125" style="54" customWidth="1"/>
    <col min="3845" max="3845" width="17.66015625" style="54" customWidth="1"/>
    <col min="3846" max="3846" width="10.66015625" style="54" customWidth="1"/>
    <col min="3847" max="4096" width="9.33203125" style="54" customWidth="1"/>
    <col min="4097" max="4097" width="55.33203125" style="54" customWidth="1"/>
    <col min="4098" max="4098" width="8" style="54" customWidth="1"/>
    <col min="4099" max="4099" width="9.83203125" style="54" customWidth="1"/>
    <col min="4100" max="4100" width="11.33203125" style="54" customWidth="1"/>
    <col min="4101" max="4101" width="17.66015625" style="54" customWidth="1"/>
    <col min="4102" max="4102" width="10.66015625" style="54" customWidth="1"/>
    <col min="4103" max="4352" width="9.33203125" style="54" customWidth="1"/>
    <col min="4353" max="4353" width="55.33203125" style="54" customWidth="1"/>
    <col min="4354" max="4354" width="8" style="54" customWidth="1"/>
    <col min="4355" max="4355" width="9.83203125" style="54" customWidth="1"/>
    <col min="4356" max="4356" width="11.33203125" style="54" customWidth="1"/>
    <col min="4357" max="4357" width="17.66015625" style="54" customWidth="1"/>
    <col min="4358" max="4358" width="10.66015625" style="54" customWidth="1"/>
    <col min="4359" max="4608" width="9.33203125" style="54" customWidth="1"/>
    <col min="4609" max="4609" width="55.33203125" style="54" customWidth="1"/>
    <col min="4610" max="4610" width="8" style="54" customWidth="1"/>
    <col min="4611" max="4611" width="9.83203125" style="54" customWidth="1"/>
    <col min="4612" max="4612" width="11.33203125" style="54" customWidth="1"/>
    <col min="4613" max="4613" width="17.66015625" style="54" customWidth="1"/>
    <col min="4614" max="4614" width="10.66015625" style="54" customWidth="1"/>
    <col min="4615" max="4864" width="9.33203125" style="54" customWidth="1"/>
    <col min="4865" max="4865" width="55.33203125" style="54" customWidth="1"/>
    <col min="4866" max="4866" width="8" style="54" customWidth="1"/>
    <col min="4867" max="4867" width="9.83203125" style="54" customWidth="1"/>
    <col min="4868" max="4868" width="11.33203125" style="54" customWidth="1"/>
    <col min="4869" max="4869" width="17.66015625" style="54" customWidth="1"/>
    <col min="4870" max="4870" width="10.66015625" style="54" customWidth="1"/>
    <col min="4871" max="5120" width="9.33203125" style="54" customWidth="1"/>
    <col min="5121" max="5121" width="55.33203125" style="54" customWidth="1"/>
    <col min="5122" max="5122" width="8" style="54" customWidth="1"/>
    <col min="5123" max="5123" width="9.83203125" style="54" customWidth="1"/>
    <col min="5124" max="5124" width="11.33203125" style="54" customWidth="1"/>
    <col min="5125" max="5125" width="17.66015625" style="54" customWidth="1"/>
    <col min="5126" max="5126" width="10.66015625" style="54" customWidth="1"/>
    <col min="5127" max="5376" width="9.33203125" style="54" customWidth="1"/>
    <col min="5377" max="5377" width="55.33203125" style="54" customWidth="1"/>
    <col min="5378" max="5378" width="8" style="54" customWidth="1"/>
    <col min="5379" max="5379" width="9.83203125" style="54" customWidth="1"/>
    <col min="5380" max="5380" width="11.33203125" style="54" customWidth="1"/>
    <col min="5381" max="5381" width="17.66015625" style="54" customWidth="1"/>
    <col min="5382" max="5382" width="10.66015625" style="54" customWidth="1"/>
    <col min="5383" max="5632" width="9.33203125" style="54" customWidth="1"/>
    <col min="5633" max="5633" width="55.33203125" style="54" customWidth="1"/>
    <col min="5634" max="5634" width="8" style="54" customWidth="1"/>
    <col min="5635" max="5635" width="9.83203125" style="54" customWidth="1"/>
    <col min="5636" max="5636" width="11.33203125" style="54" customWidth="1"/>
    <col min="5637" max="5637" width="17.66015625" style="54" customWidth="1"/>
    <col min="5638" max="5638" width="10.66015625" style="54" customWidth="1"/>
    <col min="5639" max="5888" width="9.33203125" style="54" customWidth="1"/>
    <col min="5889" max="5889" width="55.33203125" style="54" customWidth="1"/>
    <col min="5890" max="5890" width="8" style="54" customWidth="1"/>
    <col min="5891" max="5891" width="9.83203125" style="54" customWidth="1"/>
    <col min="5892" max="5892" width="11.33203125" style="54" customWidth="1"/>
    <col min="5893" max="5893" width="17.66015625" style="54" customWidth="1"/>
    <col min="5894" max="5894" width="10.66015625" style="54" customWidth="1"/>
    <col min="5895" max="6144" width="9.33203125" style="54" customWidth="1"/>
    <col min="6145" max="6145" width="55.33203125" style="54" customWidth="1"/>
    <col min="6146" max="6146" width="8" style="54" customWidth="1"/>
    <col min="6147" max="6147" width="9.83203125" style="54" customWidth="1"/>
    <col min="6148" max="6148" width="11.33203125" style="54" customWidth="1"/>
    <col min="6149" max="6149" width="17.66015625" style="54" customWidth="1"/>
    <col min="6150" max="6150" width="10.66015625" style="54" customWidth="1"/>
    <col min="6151" max="6400" width="9.33203125" style="54" customWidth="1"/>
    <col min="6401" max="6401" width="55.33203125" style="54" customWidth="1"/>
    <col min="6402" max="6402" width="8" style="54" customWidth="1"/>
    <col min="6403" max="6403" width="9.83203125" style="54" customWidth="1"/>
    <col min="6404" max="6404" width="11.33203125" style="54" customWidth="1"/>
    <col min="6405" max="6405" width="17.66015625" style="54" customWidth="1"/>
    <col min="6406" max="6406" width="10.66015625" style="54" customWidth="1"/>
    <col min="6407" max="6656" width="9.33203125" style="54" customWidth="1"/>
    <col min="6657" max="6657" width="55.33203125" style="54" customWidth="1"/>
    <col min="6658" max="6658" width="8" style="54" customWidth="1"/>
    <col min="6659" max="6659" width="9.83203125" style="54" customWidth="1"/>
    <col min="6660" max="6660" width="11.33203125" style="54" customWidth="1"/>
    <col min="6661" max="6661" width="17.66015625" style="54" customWidth="1"/>
    <col min="6662" max="6662" width="10.66015625" style="54" customWidth="1"/>
    <col min="6663" max="6912" width="9.33203125" style="54" customWidth="1"/>
    <col min="6913" max="6913" width="55.33203125" style="54" customWidth="1"/>
    <col min="6914" max="6914" width="8" style="54" customWidth="1"/>
    <col min="6915" max="6915" width="9.83203125" style="54" customWidth="1"/>
    <col min="6916" max="6916" width="11.33203125" style="54" customWidth="1"/>
    <col min="6917" max="6917" width="17.66015625" style="54" customWidth="1"/>
    <col min="6918" max="6918" width="10.66015625" style="54" customWidth="1"/>
    <col min="6919" max="7168" width="9.33203125" style="54" customWidth="1"/>
    <col min="7169" max="7169" width="55.33203125" style="54" customWidth="1"/>
    <col min="7170" max="7170" width="8" style="54" customWidth="1"/>
    <col min="7171" max="7171" width="9.83203125" style="54" customWidth="1"/>
    <col min="7172" max="7172" width="11.33203125" style="54" customWidth="1"/>
    <col min="7173" max="7173" width="17.66015625" style="54" customWidth="1"/>
    <col min="7174" max="7174" width="10.66015625" style="54" customWidth="1"/>
    <col min="7175" max="7424" width="9.33203125" style="54" customWidth="1"/>
    <col min="7425" max="7425" width="55.33203125" style="54" customWidth="1"/>
    <col min="7426" max="7426" width="8" style="54" customWidth="1"/>
    <col min="7427" max="7427" width="9.83203125" style="54" customWidth="1"/>
    <col min="7428" max="7428" width="11.33203125" style="54" customWidth="1"/>
    <col min="7429" max="7429" width="17.66015625" style="54" customWidth="1"/>
    <col min="7430" max="7430" width="10.66015625" style="54" customWidth="1"/>
    <col min="7431" max="7680" width="9.33203125" style="54" customWidth="1"/>
    <col min="7681" max="7681" width="55.33203125" style="54" customWidth="1"/>
    <col min="7682" max="7682" width="8" style="54" customWidth="1"/>
    <col min="7683" max="7683" width="9.83203125" style="54" customWidth="1"/>
    <col min="7684" max="7684" width="11.33203125" style="54" customWidth="1"/>
    <col min="7685" max="7685" width="17.66015625" style="54" customWidth="1"/>
    <col min="7686" max="7686" width="10.66015625" style="54" customWidth="1"/>
    <col min="7687" max="7936" width="9.33203125" style="54" customWidth="1"/>
    <col min="7937" max="7937" width="55.33203125" style="54" customWidth="1"/>
    <col min="7938" max="7938" width="8" style="54" customWidth="1"/>
    <col min="7939" max="7939" width="9.83203125" style="54" customWidth="1"/>
    <col min="7940" max="7940" width="11.33203125" style="54" customWidth="1"/>
    <col min="7941" max="7941" width="17.66015625" style="54" customWidth="1"/>
    <col min="7942" max="7942" width="10.66015625" style="54" customWidth="1"/>
    <col min="7943" max="8192" width="9.33203125" style="54" customWidth="1"/>
    <col min="8193" max="8193" width="55.33203125" style="54" customWidth="1"/>
    <col min="8194" max="8194" width="8" style="54" customWidth="1"/>
    <col min="8195" max="8195" width="9.83203125" style="54" customWidth="1"/>
    <col min="8196" max="8196" width="11.33203125" style="54" customWidth="1"/>
    <col min="8197" max="8197" width="17.66015625" style="54" customWidth="1"/>
    <col min="8198" max="8198" width="10.66015625" style="54" customWidth="1"/>
    <col min="8199" max="8448" width="9.33203125" style="54" customWidth="1"/>
    <col min="8449" max="8449" width="55.33203125" style="54" customWidth="1"/>
    <col min="8450" max="8450" width="8" style="54" customWidth="1"/>
    <col min="8451" max="8451" width="9.83203125" style="54" customWidth="1"/>
    <col min="8452" max="8452" width="11.33203125" style="54" customWidth="1"/>
    <col min="8453" max="8453" width="17.66015625" style="54" customWidth="1"/>
    <col min="8454" max="8454" width="10.66015625" style="54" customWidth="1"/>
    <col min="8455" max="8704" width="9.33203125" style="54" customWidth="1"/>
    <col min="8705" max="8705" width="55.33203125" style="54" customWidth="1"/>
    <col min="8706" max="8706" width="8" style="54" customWidth="1"/>
    <col min="8707" max="8707" width="9.83203125" style="54" customWidth="1"/>
    <col min="8708" max="8708" width="11.33203125" style="54" customWidth="1"/>
    <col min="8709" max="8709" width="17.66015625" style="54" customWidth="1"/>
    <col min="8710" max="8710" width="10.66015625" style="54" customWidth="1"/>
    <col min="8711" max="8960" width="9.33203125" style="54" customWidth="1"/>
    <col min="8961" max="8961" width="55.33203125" style="54" customWidth="1"/>
    <col min="8962" max="8962" width="8" style="54" customWidth="1"/>
    <col min="8963" max="8963" width="9.83203125" style="54" customWidth="1"/>
    <col min="8964" max="8964" width="11.33203125" style="54" customWidth="1"/>
    <col min="8965" max="8965" width="17.66015625" style="54" customWidth="1"/>
    <col min="8966" max="8966" width="10.66015625" style="54" customWidth="1"/>
    <col min="8967" max="9216" width="9.33203125" style="54" customWidth="1"/>
    <col min="9217" max="9217" width="55.33203125" style="54" customWidth="1"/>
    <col min="9218" max="9218" width="8" style="54" customWidth="1"/>
    <col min="9219" max="9219" width="9.83203125" style="54" customWidth="1"/>
    <col min="9220" max="9220" width="11.33203125" style="54" customWidth="1"/>
    <col min="9221" max="9221" width="17.66015625" style="54" customWidth="1"/>
    <col min="9222" max="9222" width="10.66015625" style="54" customWidth="1"/>
    <col min="9223" max="9472" width="9.33203125" style="54" customWidth="1"/>
    <col min="9473" max="9473" width="55.33203125" style="54" customWidth="1"/>
    <col min="9474" max="9474" width="8" style="54" customWidth="1"/>
    <col min="9475" max="9475" width="9.83203125" style="54" customWidth="1"/>
    <col min="9476" max="9476" width="11.33203125" style="54" customWidth="1"/>
    <col min="9477" max="9477" width="17.66015625" style="54" customWidth="1"/>
    <col min="9478" max="9478" width="10.66015625" style="54" customWidth="1"/>
    <col min="9479" max="9728" width="9.33203125" style="54" customWidth="1"/>
    <col min="9729" max="9729" width="55.33203125" style="54" customWidth="1"/>
    <col min="9730" max="9730" width="8" style="54" customWidth="1"/>
    <col min="9731" max="9731" width="9.83203125" style="54" customWidth="1"/>
    <col min="9732" max="9732" width="11.33203125" style="54" customWidth="1"/>
    <col min="9733" max="9733" width="17.66015625" style="54" customWidth="1"/>
    <col min="9734" max="9734" width="10.66015625" style="54" customWidth="1"/>
    <col min="9735" max="9984" width="9.33203125" style="54" customWidth="1"/>
    <col min="9985" max="9985" width="55.33203125" style="54" customWidth="1"/>
    <col min="9986" max="9986" width="8" style="54" customWidth="1"/>
    <col min="9987" max="9987" width="9.83203125" style="54" customWidth="1"/>
    <col min="9988" max="9988" width="11.33203125" style="54" customWidth="1"/>
    <col min="9989" max="9989" width="17.66015625" style="54" customWidth="1"/>
    <col min="9990" max="9990" width="10.66015625" style="54" customWidth="1"/>
    <col min="9991" max="10240" width="9.33203125" style="54" customWidth="1"/>
    <col min="10241" max="10241" width="55.33203125" style="54" customWidth="1"/>
    <col min="10242" max="10242" width="8" style="54" customWidth="1"/>
    <col min="10243" max="10243" width="9.83203125" style="54" customWidth="1"/>
    <col min="10244" max="10244" width="11.33203125" style="54" customWidth="1"/>
    <col min="10245" max="10245" width="17.66015625" style="54" customWidth="1"/>
    <col min="10246" max="10246" width="10.66015625" style="54" customWidth="1"/>
    <col min="10247" max="10496" width="9.33203125" style="54" customWidth="1"/>
    <col min="10497" max="10497" width="55.33203125" style="54" customWidth="1"/>
    <col min="10498" max="10498" width="8" style="54" customWidth="1"/>
    <col min="10499" max="10499" width="9.83203125" style="54" customWidth="1"/>
    <col min="10500" max="10500" width="11.33203125" style="54" customWidth="1"/>
    <col min="10501" max="10501" width="17.66015625" style="54" customWidth="1"/>
    <col min="10502" max="10502" width="10.66015625" style="54" customWidth="1"/>
    <col min="10503" max="10752" width="9.33203125" style="54" customWidth="1"/>
    <col min="10753" max="10753" width="55.33203125" style="54" customWidth="1"/>
    <col min="10754" max="10754" width="8" style="54" customWidth="1"/>
    <col min="10755" max="10755" width="9.83203125" style="54" customWidth="1"/>
    <col min="10756" max="10756" width="11.33203125" style="54" customWidth="1"/>
    <col min="10757" max="10757" width="17.66015625" style="54" customWidth="1"/>
    <col min="10758" max="10758" width="10.66015625" style="54" customWidth="1"/>
    <col min="10759" max="11008" width="9.33203125" style="54" customWidth="1"/>
    <col min="11009" max="11009" width="55.33203125" style="54" customWidth="1"/>
    <col min="11010" max="11010" width="8" style="54" customWidth="1"/>
    <col min="11011" max="11011" width="9.83203125" style="54" customWidth="1"/>
    <col min="11012" max="11012" width="11.33203125" style="54" customWidth="1"/>
    <col min="11013" max="11013" width="17.66015625" style="54" customWidth="1"/>
    <col min="11014" max="11014" width="10.66015625" style="54" customWidth="1"/>
    <col min="11015" max="11264" width="9.33203125" style="54" customWidth="1"/>
    <col min="11265" max="11265" width="55.33203125" style="54" customWidth="1"/>
    <col min="11266" max="11266" width="8" style="54" customWidth="1"/>
    <col min="11267" max="11267" width="9.83203125" style="54" customWidth="1"/>
    <col min="11268" max="11268" width="11.33203125" style="54" customWidth="1"/>
    <col min="11269" max="11269" width="17.66015625" style="54" customWidth="1"/>
    <col min="11270" max="11270" width="10.66015625" style="54" customWidth="1"/>
    <col min="11271" max="11520" width="9.33203125" style="54" customWidth="1"/>
    <col min="11521" max="11521" width="55.33203125" style="54" customWidth="1"/>
    <col min="11522" max="11522" width="8" style="54" customWidth="1"/>
    <col min="11523" max="11523" width="9.83203125" style="54" customWidth="1"/>
    <col min="11524" max="11524" width="11.33203125" style="54" customWidth="1"/>
    <col min="11525" max="11525" width="17.66015625" style="54" customWidth="1"/>
    <col min="11526" max="11526" width="10.66015625" style="54" customWidth="1"/>
    <col min="11527" max="11776" width="9.33203125" style="54" customWidth="1"/>
    <col min="11777" max="11777" width="55.33203125" style="54" customWidth="1"/>
    <col min="11778" max="11778" width="8" style="54" customWidth="1"/>
    <col min="11779" max="11779" width="9.83203125" style="54" customWidth="1"/>
    <col min="11780" max="11780" width="11.33203125" style="54" customWidth="1"/>
    <col min="11781" max="11781" width="17.66015625" style="54" customWidth="1"/>
    <col min="11782" max="11782" width="10.66015625" style="54" customWidth="1"/>
    <col min="11783" max="12032" width="9.33203125" style="54" customWidth="1"/>
    <col min="12033" max="12033" width="55.33203125" style="54" customWidth="1"/>
    <col min="12034" max="12034" width="8" style="54" customWidth="1"/>
    <col min="12035" max="12035" width="9.83203125" style="54" customWidth="1"/>
    <col min="12036" max="12036" width="11.33203125" style="54" customWidth="1"/>
    <col min="12037" max="12037" width="17.66015625" style="54" customWidth="1"/>
    <col min="12038" max="12038" width="10.66015625" style="54" customWidth="1"/>
    <col min="12039" max="12288" width="9.33203125" style="54" customWidth="1"/>
    <col min="12289" max="12289" width="55.33203125" style="54" customWidth="1"/>
    <col min="12290" max="12290" width="8" style="54" customWidth="1"/>
    <col min="12291" max="12291" width="9.83203125" style="54" customWidth="1"/>
    <col min="12292" max="12292" width="11.33203125" style="54" customWidth="1"/>
    <col min="12293" max="12293" width="17.66015625" style="54" customWidth="1"/>
    <col min="12294" max="12294" width="10.66015625" style="54" customWidth="1"/>
    <col min="12295" max="12544" width="9.33203125" style="54" customWidth="1"/>
    <col min="12545" max="12545" width="55.33203125" style="54" customWidth="1"/>
    <col min="12546" max="12546" width="8" style="54" customWidth="1"/>
    <col min="12547" max="12547" width="9.83203125" style="54" customWidth="1"/>
    <col min="12548" max="12548" width="11.33203125" style="54" customWidth="1"/>
    <col min="12549" max="12549" width="17.66015625" style="54" customWidth="1"/>
    <col min="12550" max="12550" width="10.66015625" style="54" customWidth="1"/>
    <col min="12551" max="12800" width="9.33203125" style="54" customWidth="1"/>
    <col min="12801" max="12801" width="55.33203125" style="54" customWidth="1"/>
    <col min="12802" max="12802" width="8" style="54" customWidth="1"/>
    <col min="12803" max="12803" width="9.83203125" style="54" customWidth="1"/>
    <col min="12804" max="12804" width="11.33203125" style="54" customWidth="1"/>
    <col min="12805" max="12805" width="17.66015625" style="54" customWidth="1"/>
    <col min="12806" max="12806" width="10.66015625" style="54" customWidth="1"/>
    <col min="12807" max="13056" width="9.33203125" style="54" customWidth="1"/>
    <col min="13057" max="13057" width="55.33203125" style="54" customWidth="1"/>
    <col min="13058" max="13058" width="8" style="54" customWidth="1"/>
    <col min="13059" max="13059" width="9.83203125" style="54" customWidth="1"/>
    <col min="13060" max="13060" width="11.33203125" style="54" customWidth="1"/>
    <col min="13061" max="13061" width="17.66015625" style="54" customWidth="1"/>
    <col min="13062" max="13062" width="10.66015625" style="54" customWidth="1"/>
    <col min="13063" max="13312" width="9.33203125" style="54" customWidth="1"/>
    <col min="13313" max="13313" width="55.33203125" style="54" customWidth="1"/>
    <col min="13314" max="13314" width="8" style="54" customWidth="1"/>
    <col min="13315" max="13315" width="9.83203125" style="54" customWidth="1"/>
    <col min="13316" max="13316" width="11.33203125" style="54" customWidth="1"/>
    <col min="13317" max="13317" width="17.66015625" style="54" customWidth="1"/>
    <col min="13318" max="13318" width="10.66015625" style="54" customWidth="1"/>
    <col min="13319" max="13568" width="9.33203125" style="54" customWidth="1"/>
    <col min="13569" max="13569" width="55.33203125" style="54" customWidth="1"/>
    <col min="13570" max="13570" width="8" style="54" customWidth="1"/>
    <col min="13571" max="13571" width="9.83203125" style="54" customWidth="1"/>
    <col min="13572" max="13572" width="11.33203125" style="54" customWidth="1"/>
    <col min="13573" max="13573" width="17.66015625" style="54" customWidth="1"/>
    <col min="13574" max="13574" width="10.66015625" style="54" customWidth="1"/>
    <col min="13575" max="13824" width="9.33203125" style="54" customWidth="1"/>
    <col min="13825" max="13825" width="55.33203125" style="54" customWidth="1"/>
    <col min="13826" max="13826" width="8" style="54" customWidth="1"/>
    <col min="13827" max="13827" width="9.83203125" style="54" customWidth="1"/>
    <col min="13828" max="13828" width="11.33203125" style="54" customWidth="1"/>
    <col min="13829" max="13829" width="17.66015625" style="54" customWidth="1"/>
    <col min="13830" max="13830" width="10.66015625" style="54" customWidth="1"/>
    <col min="13831" max="14080" width="9.33203125" style="54" customWidth="1"/>
    <col min="14081" max="14081" width="55.33203125" style="54" customWidth="1"/>
    <col min="14082" max="14082" width="8" style="54" customWidth="1"/>
    <col min="14083" max="14083" width="9.83203125" style="54" customWidth="1"/>
    <col min="14084" max="14084" width="11.33203125" style="54" customWidth="1"/>
    <col min="14085" max="14085" width="17.66015625" style="54" customWidth="1"/>
    <col min="14086" max="14086" width="10.66015625" style="54" customWidth="1"/>
    <col min="14087" max="14336" width="9.33203125" style="54" customWidth="1"/>
    <col min="14337" max="14337" width="55.33203125" style="54" customWidth="1"/>
    <col min="14338" max="14338" width="8" style="54" customWidth="1"/>
    <col min="14339" max="14339" width="9.83203125" style="54" customWidth="1"/>
    <col min="14340" max="14340" width="11.33203125" style="54" customWidth="1"/>
    <col min="14341" max="14341" width="17.66015625" style="54" customWidth="1"/>
    <col min="14342" max="14342" width="10.66015625" style="54" customWidth="1"/>
    <col min="14343" max="14592" width="9.33203125" style="54" customWidth="1"/>
    <col min="14593" max="14593" width="55.33203125" style="54" customWidth="1"/>
    <col min="14594" max="14594" width="8" style="54" customWidth="1"/>
    <col min="14595" max="14595" width="9.83203125" style="54" customWidth="1"/>
    <col min="14596" max="14596" width="11.33203125" style="54" customWidth="1"/>
    <col min="14597" max="14597" width="17.66015625" style="54" customWidth="1"/>
    <col min="14598" max="14598" width="10.66015625" style="54" customWidth="1"/>
    <col min="14599" max="14848" width="9.33203125" style="54" customWidth="1"/>
    <col min="14849" max="14849" width="55.33203125" style="54" customWidth="1"/>
    <col min="14850" max="14850" width="8" style="54" customWidth="1"/>
    <col min="14851" max="14851" width="9.83203125" style="54" customWidth="1"/>
    <col min="14852" max="14852" width="11.33203125" style="54" customWidth="1"/>
    <col min="14853" max="14853" width="17.66015625" style="54" customWidth="1"/>
    <col min="14854" max="14854" width="10.66015625" style="54" customWidth="1"/>
    <col min="14855" max="15104" width="9.33203125" style="54" customWidth="1"/>
    <col min="15105" max="15105" width="55.33203125" style="54" customWidth="1"/>
    <col min="15106" max="15106" width="8" style="54" customWidth="1"/>
    <col min="15107" max="15107" width="9.83203125" style="54" customWidth="1"/>
    <col min="15108" max="15108" width="11.33203125" style="54" customWidth="1"/>
    <col min="15109" max="15109" width="17.66015625" style="54" customWidth="1"/>
    <col min="15110" max="15110" width="10.66015625" style="54" customWidth="1"/>
    <col min="15111" max="15360" width="9.33203125" style="54" customWidth="1"/>
    <col min="15361" max="15361" width="55.33203125" style="54" customWidth="1"/>
    <col min="15362" max="15362" width="8" style="54" customWidth="1"/>
    <col min="15363" max="15363" width="9.83203125" style="54" customWidth="1"/>
    <col min="15364" max="15364" width="11.33203125" style="54" customWidth="1"/>
    <col min="15365" max="15365" width="17.66015625" style="54" customWidth="1"/>
    <col min="15366" max="15366" width="10.66015625" style="54" customWidth="1"/>
    <col min="15367" max="15616" width="9.33203125" style="54" customWidth="1"/>
    <col min="15617" max="15617" width="55.33203125" style="54" customWidth="1"/>
    <col min="15618" max="15618" width="8" style="54" customWidth="1"/>
    <col min="15619" max="15619" width="9.83203125" style="54" customWidth="1"/>
    <col min="15620" max="15620" width="11.33203125" style="54" customWidth="1"/>
    <col min="15621" max="15621" width="17.66015625" style="54" customWidth="1"/>
    <col min="15622" max="15622" width="10.66015625" style="54" customWidth="1"/>
    <col min="15623" max="15872" width="9.33203125" style="54" customWidth="1"/>
    <col min="15873" max="15873" width="55.33203125" style="54" customWidth="1"/>
    <col min="15874" max="15874" width="8" style="54" customWidth="1"/>
    <col min="15875" max="15875" width="9.83203125" style="54" customWidth="1"/>
    <col min="15876" max="15876" width="11.33203125" style="54" customWidth="1"/>
    <col min="15877" max="15877" width="17.66015625" style="54" customWidth="1"/>
    <col min="15878" max="15878" width="10.66015625" style="54" customWidth="1"/>
    <col min="15879" max="16128" width="9.33203125" style="54" customWidth="1"/>
    <col min="16129" max="16129" width="55.33203125" style="54" customWidth="1"/>
    <col min="16130" max="16130" width="8" style="54" customWidth="1"/>
    <col min="16131" max="16131" width="9.83203125" style="54" customWidth="1"/>
    <col min="16132" max="16132" width="11.33203125" style="54" customWidth="1"/>
    <col min="16133" max="16133" width="17.66015625" style="54" customWidth="1"/>
    <col min="16134" max="16134" width="10.66015625" style="54" customWidth="1"/>
    <col min="16135" max="16384" width="9.33203125" style="54" customWidth="1"/>
  </cols>
  <sheetData>
    <row r="1" spans="1:6" s="51" customFormat="1" ht="15.75" customHeight="1">
      <c r="A1" s="75" t="s">
        <v>3</v>
      </c>
      <c r="B1" s="692" t="str">
        <f>Rekapitulace!K4</f>
        <v>Stavební úpravy, vestavba a přístavba stávajícího objektu</v>
      </c>
      <c r="C1" s="692"/>
      <c r="D1" s="692"/>
      <c r="E1" s="692"/>
      <c r="F1" s="693"/>
    </row>
    <row r="2" spans="1:6" ht="12.75" customHeight="1">
      <c r="A2" s="689"/>
      <c r="B2" s="690"/>
      <c r="C2" s="690"/>
      <c r="D2" s="690"/>
      <c r="E2" s="690"/>
      <c r="F2" s="691"/>
    </row>
    <row r="3" spans="1:6" ht="12.75" customHeight="1">
      <c r="A3" s="700" t="s">
        <v>127</v>
      </c>
      <c r="B3" s="701"/>
      <c r="C3" s="701"/>
      <c r="D3" s="701"/>
      <c r="E3" s="701"/>
      <c r="F3" s="702"/>
    </row>
    <row r="4" spans="1:6" ht="12.75" customHeight="1">
      <c r="A4" s="689"/>
      <c r="B4" s="690"/>
      <c r="C4" s="690"/>
      <c r="D4" s="690"/>
      <c r="E4" s="690"/>
      <c r="F4" s="691"/>
    </row>
    <row r="5" spans="1:6" s="51" customFormat="1" ht="15.75" thickBot="1">
      <c r="A5" s="703" t="s">
        <v>534</v>
      </c>
      <c r="B5" s="704"/>
      <c r="C5" s="704"/>
      <c r="D5" s="704"/>
      <c r="E5" s="704"/>
      <c r="F5" s="705"/>
    </row>
    <row r="6" spans="1:6" s="51" customFormat="1" ht="16.5" customHeight="1" thickBot="1">
      <c r="A6" s="76" t="s">
        <v>11</v>
      </c>
      <c r="B6" s="711">
        <f>Rekapitulace!K11</f>
        <v>0</v>
      </c>
      <c r="C6" s="711"/>
      <c r="D6" s="711"/>
      <c r="E6" s="711"/>
      <c r="F6" s="712"/>
    </row>
    <row r="7" spans="1:6" s="51" customFormat="1" ht="3.75" customHeight="1">
      <c r="A7" s="706"/>
      <c r="B7" s="706"/>
      <c r="C7" s="706"/>
      <c r="D7" s="706"/>
      <c r="E7" s="706"/>
      <c r="F7" s="706"/>
    </row>
    <row r="8" spans="1:6" s="77" customFormat="1" ht="42.75" customHeight="1">
      <c r="A8" s="707" t="s">
        <v>128</v>
      </c>
      <c r="B8" s="708"/>
      <c r="C8" s="708"/>
      <c r="D8" s="708"/>
      <c r="E8" s="708"/>
      <c r="F8" s="709"/>
    </row>
    <row r="9" spans="1:6" ht="6" customHeight="1">
      <c r="A9" s="710"/>
      <c r="B9" s="710"/>
      <c r="C9" s="710"/>
      <c r="D9" s="710"/>
      <c r="E9" s="710"/>
      <c r="F9" s="710"/>
    </row>
    <row r="10" spans="1:6" s="79" customFormat="1" ht="22.5">
      <c r="A10" s="78" t="s">
        <v>129</v>
      </c>
      <c r="B10" s="78" t="s">
        <v>130</v>
      </c>
      <c r="C10" s="108" t="s">
        <v>131</v>
      </c>
      <c r="D10" s="109" t="s">
        <v>132</v>
      </c>
      <c r="E10" s="110" t="s">
        <v>133</v>
      </c>
      <c r="F10" s="111" t="s">
        <v>134</v>
      </c>
    </row>
    <row r="11" spans="1:6" ht="5.25" customHeight="1" thickBot="1">
      <c r="A11" s="80"/>
      <c r="B11" s="81"/>
      <c r="C11" s="112"/>
      <c r="D11" s="87"/>
      <c r="E11" s="113"/>
      <c r="F11" s="114"/>
    </row>
    <row r="12" spans="1:6" ht="17.45" customHeight="1" thickBot="1">
      <c r="A12" s="694" t="s">
        <v>135</v>
      </c>
      <c r="B12" s="695"/>
      <c r="C12" s="695"/>
      <c r="D12" s="695"/>
      <c r="E12" s="695"/>
      <c r="F12" s="696"/>
    </row>
    <row r="13" spans="1:6" ht="13.5" thickBot="1">
      <c r="A13" s="90" t="s">
        <v>274</v>
      </c>
      <c r="B13" s="115"/>
      <c r="C13" s="116"/>
      <c r="D13" s="188"/>
      <c r="E13" s="117">
        <f>SUM(E15:E34)</f>
        <v>0</v>
      </c>
      <c r="F13" s="83" t="s">
        <v>136</v>
      </c>
    </row>
    <row r="14" spans="1:6" s="304" customFormat="1" ht="13.5">
      <c r="A14" s="305" t="s">
        <v>1249</v>
      </c>
      <c r="B14" s="306"/>
      <c r="C14" s="307"/>
      <c r="D14" s="308"/>
      <c r="E14" s="309"/>
      <c r="F14" s="303"/>
    </row>
    <row r="15" spans="1:6" ht="22.5">
      <c r="A15" s="217" t="s">
        <v>2346</v>
      </c>
      <c r="B15" s="218" t="s">
        <v>69</v>
      </c>
      <c r="C15" s="219">
        <v>2</v>
      </c>
      <c r="D15" s="220"/>
      <c r="E15" s="221">
        <f>D15*C15</f>
        <v>0</v>
      </c>
      <c r="F15" s="119"/>
    </row>
    <row r="16" spans="1:6" ht="22.5">
      <c r="A16" s="217" t="s">
        <v>2347</v>
      </c>
      <c r="B16" s="218" t="s">
        <v>69</v>
      </c>
      <c r="C16" s="219">
        <v>1</v>
      </c>
      <c r="D16" s="220"/>
      <c r="E16" s="221">
        <f>D16*C16</f>
        <v>0</v>
      </c>
      <c r="F16" s="119"/>
    </row>
    <row r="17" spans="1:6" ht="22.5">
      <c r="A17" s="217" t="s">
        <v>2348</v>
      </c>
      <c r="B17" s="218" t="s">
        <v>69</v>
      </c>
      <c r="C17" s="219">
        <v>1</v>
      </c>
      <c r="D17" s="220"/>
      <c r="E17" s="221">
        <f>D17*C17</f>
        <v>0</v>
      </c>
      <c r="F17" s="119"/>
    </row>
    <row r="18" spans="1:6" ht="22.5">
      <c r="A18" s="217" t="s">
        <v>2349</v>
      </c>
      <c r="B18" s="218" t="s">
        <v>69</v>
      </c>
      <c r="C18" s="219">
        <v>2</v>
      </c>
      <c r="D18" s="220"/>
      <c r="E18" s="221">
        <f>D18*C18</f>
        <v>0</v>
      </c>
      <c r="F18" s="119"/>
    </row>
    <row r="19" spans="1:6" ht="22.5">
      <c r="A19" s="217" t="s">
        <v>2350</v>
      </c>
      <c r="B19" s="218" t="s">
        <v>69</v>
      </c>
      <c r="C19" s="219">
        <v>2</v>
      </c>
      <c r="D19" s="220"/>
      <c r="E19" s="221">
        <f>D19*C19</f>
        <v>0</v>
      </c>
      <c r="F19" s="119"/>
    </row>
    <row r="20" spans="1:6" s="304" customFormat="1" ht="13.5">
      <c r="A20" s="305" t="s">
        <v>1250</v>
      </c>
      <c r="B20" s="306"/>
      <c r="C20" s="307"/>
      <c r="D20" s="308"/>
      <c r="E20" s="309"/>
      <c r="F20" s="303"/>
    </row>
    <row r="21" spans="1:6" ht="13.5">
      <c r="A21" s="217" t="s">
        <v>1251</v>
      </c>
      <c r="B21" s="218" t="s">
        <v>69</v>
      </c>
      <c r="C21" s="219">
        <v>3</v>
      </c>
      <c r="D21" s="220"/>
      <c r="E21" s="221">
        <f aca="true" t="shared" si="0" ref="E21:E26">D21*C21</f>
        <v>0</v>
      </c>
      <c r="F21" s="119"/>
    </row>
    <row r="22" spans="1:6" ht="13.5">
      <c r="A22" s="217" t="s">
        <v>1252</v>
      </c>
      <c r="B22" s="218" t="s">
        <v>69</v>
      </c>
      <c r="C22" s="219">
        <v>3</v>
      </c>
      <c r="D22" s="220"/>
      <c r="E22" s="221">
        <f t="shared" si="0"/>
        <v>0</v>
      </c>
      <c r="F22" s="119"/>
    </row>
    <row r="23" spans="1:6" ht="22.5">
      <c r="A23" s="217" t="s">
        <v>2351</v>
      </c>
      <c r="B23" s="218" t="s">
        <v>69</v>
      </c>
      <c r="C23" s="219">
        <v>3</v>
      </c>
      <c r="D23" s="220"/>
      <c r="E23" s="221">
        <f t="shared" si="0"/>
        <v>0</v>
      </c>
      <c r="F23" s="119"/>
    </row>
    <row r="24" spans="1:6" ht="13.5">
      <c r="A24" s="217" t="s">
        <v>1253</v>
      </c>
      <c r="B24" s="218" t="s">
        <v>69</v>
      </c>
      <c r="C24" s="219">
        <v>5</v>
      </c>
      <c r="D24" s="220"/>
      <c r="E24" s="221">
        <f t="shared" si="0"/>
        <v>0</v>
      </c>
      <c r="F24" s="119"/>
    </row>
    <row r="25" spans="1:6" ht="13.5">
      <c r="A25" s="217" t="s">
        <v>1254</v>
      </c>
      <c r="B25" s="218" t="s">
        <v>69</v>
      </c>
      <c r="C25" s="219">
        <v>5</v>
      </c>
      <c r="D25" s="220"/>
      <c r="E25" s="221">
        <f t="shared" si="0"/>
        <v>0</v>
      </c>
      <c r="F25" s="119"/>
    </row>
    <row r="26" spans="1:6" ht="22.5">
      <c r="A26" s="217" t="s">
        <v>2352</v>
      </c>
      <c r="B26" s="218" t="s">
        <v>69</v>
      </c>
      <c r="C26" s="219">
        <v>5</v>
      </c>
      <c r="D26" s="220"/>
      <c r="E26" s="221">
        <f t="shared" si="0"/>
        <v>0</v>
      </c>
      <c r="F26" s="119"/>
    </row>
    <row r="27" spans="1:6" s="304" customFormat="1" ht="13.5">
      <c r="A27" s="305" t="s">
        <v>1255</v>
      </c>
      <c r="B27" s="306"/>
      <c r="C27" s="307"/>
      <c r="D27" s="308"/>
      <c r="E27" s="309"/>
      <c r="F27" s="303"/>
    </row>
    <row r="28" spans="1:6" ht="13.5">
      <c r="A28" s="217" t="s">
        <v>1257</v>
      </c>
      <c r="B28" s="218" t="s">
        <v>69</v>
      </c>
      <c r="C28" s="219">
        <v>7</v>
      </c>
      <c r="D28" s="220"/>
      <c r="E28" s="221">
        <f>D28*C28</f>
        <v>0</v>
      </c>
      <c r="F28" s="119"/>
    </row>
    <row r="29" spans="1:6" ht="13.5">
      <c r="A29" s="217" t="s">
        <v>1258</v>
      </c>
      <c r="B29" s="218" t="s">
        <v>69</v>
      </c>
      <c r="C29" s="219">
        <v>7</v>
      </c>
      <c r="D29" s="220"/>
      <c r="E29" s="221">
        <f>D29*C29</f>
        <v>0</v>
      </c>
      <c r="F29" s="119"/>
    </row>
    <row r="30" spans="1:6" ht="13.5">
      <c r="A30" s="217" t="s">
        <v>1259</v>
      </c>
      <c r="B30" s="218" t="s">
        <v>69</v>
      </c>
      <c r="C30" s="219">
        <v>14</v>
      </c>
      <c r="D30" s="220"/>
      <c r="E30" s="221">
        <f>D30*C30</f>
        <v>0</v>
      </c>
      <c r="F30" s="119"/>
    </row>
    <row r="31" spans="1:6" s="304" customFormat="1" ht="13.5">
      <c r="A31" s="305" t="s">
        <v>1256</v>
      </c>
      <c r="B31" s="306"/>
      <c r="C31" s="307"/>
      <c r="D31" s="308"/>
      <c r="E31" s="309"/>
      <c r="F31" s="303"/>
    </row>
    <row r="32" spans="1:6" ht="13.5">
      <c r="A32" s="217" t="s">
        <v>1260</v>
      </c>
      <c r="B32" s="218" t="s">
        <v>69</v>
      </c>
      <c r="C32" s="219">
        <v>1</v>
      </c>
      <c r="D32" s="220"/>
      <c r="E32" s="221">
        <f>D32*C32</f>
        <v>0</v>
      </c>
      <c r="F32" s="119"/>
    </row>
    <row r="33" spans="1:6" ht="13.5">
      <c r="A33" s="217" t="s">
        <v>1261</v>
      </c>
      <c r="B33" s="218" t="s">
        <v>69</v>
      </c>
      <c r="C33" s="219">
        <v>1</v>
      </c>
      <c r="D33" s="220"/>
      <c r="E33" s="221">
        <f>D33*C33</f>
        <v>0</v>
      </c>
      <c r="F33" s="119"/>
    </row>
    <row r="34" spans="1:6" ht="4.5" customHeight="1" thickBot="1">
      <c r="A34" s="246"/>
      <c r="B34" s="245"/>
      <c r="C34" s="118"/>
      <c r="D34" s="424"/>
      <c r="E34" s="87"/>
      <c r="F34" s="88"/>
    </row>
    <row r="35" spans="1:6" ht="26.25" thickBot="1">
      <c r="A35" s="90" t="s">
        <v>275</v>
      </c>
      <c r="B35" s="120"/>
      <c r="C35" s="121"/>
      <c r="D35" s="425"/>
      <c r="E35" s="117">
        <f>SUM(E36:E42)</f>
        <v>0</v>
      </c>
      <c r="F35" s="83" t="s">
        <v>136</v>
      </c>
    </row>
    <row r="36" spans="1:6" ht="13.5">
      <c r="A36" s="224" t="s">
        <v>1262</v>
      </c>
      <c r="B36" s="214" t="s">
        <v>83</v>
      </c>
      <c r="C36" s="215">
        <v>25</v>
      </c>
      <c r="D36" s="225"/>
      <c r="E36" s="216">
        <f>D36*C36</f>
        <v>0</v>
      </c>
      <c r="F36" s="85"/>
    </row>
    <row r="37" spans="1:6" ht="13.5">
      <c r="A37" s="222" t="s">
        <v>1263</v>
      </c>
      <c r="B37" s="218" t="s">
        <v>69</v>
      </c>
      <c r="C37" s="219">
        <v>65</v>
      </c>
      <c r="D37" s="223"/>
      <c r="E37" s="221">
        <f>D37*C37</f>
        <v>0</v>
      </c>
      <c r="F37" s="85"/>
    </row>
    <row r="38" spans="1:6" s="304" customFormat="1" ht="13.5">
      <c r="A38" s="305"/>
      <c r="B38" s="306"/>
      <c r="C38" s="307"/>
      <c r="D38" s="308"/>
      <c r="E38" s="309"/>
      <c r="F38" s="303"/>
    </row>
    <row r="39" spans="1:6" ht="13.5">
      <c r="A39" s="217" t="s">
        <v>1264</v>
      </c>
      <c r="B39" s="218" t="s">
        <v>69</v>
      </c>
      <c r="C39" s="219">
        <v>3</v>
      </c>
      <c r="D39" s="220"/>
      <c r="E39" s="221">
        <f>D39*C39</f>
        <v>0</v>
      </c>
      <c r="F39" s="119"/>
    </row>
    <row r="40" spans="1:6" ht="13.5">
      <c r="A40" s="217" t="s">
        <v>1265</v>
      </c>
      <c r="B40" s="218" t="s">
        <v>69</v>
      </c>
      <c r="C40" s="219">
        <v>3</v>
      </c>
      <c r="D40" s="220"/>
      <c r="E40" s="221">
        <f>D40*C40</f>
        <v>0</v>
      </c>
      <c r="F40" s="119"/>
    </row>
    <row r="41" spans="1:6" ht="13.5">
      <c r="A41" s="217" t="s">
        <v>1266</v>
      </c>
      <c r="B41" s="218" t="s">
        <v>69</v>
      </c>
      <c r="C41" s="219">
        <v>1</v>
      </c>
      <c r="D41" s="220"/>
      <c r="E41" s="221">
        <f>D41*C41</f>
        <v>0</v>
      </c>
      <c r="F41" s="119"/>
    </row>
    <row r="42" spans="1:6" ht="13.5">
      <c r="A42" s="217" t="s">
        <v>1267</v>
      </c>
      <c r="B42" s="218" t="s">
        <v>69</v>
      </c>
      <c r="C42" s="219">
        <v>1</v>
      </c>
      <c r="D42" s="220"/>
      <c r="E42" s="221">
        <f>D42*C42</f>
        <v>0</v>
      </c>
      <c r="F42" s="119"/>
    </row>
    <row r="43" spans="1:6" ht="6" customHeight="1" thickBot="1">
      <c r="A43" s="89"/>
      <c r="B43" s="122"/>
      <c r="C43" s="123"/>
      <c r="D43" s="424"/>
      <c r="E43" s="87"/>
      <c r="F43" s="88"/>
    </row>
    <row r="44" spans="1:6" ht="13.5" thickBot="1">
      <c r="A44" s="90" t="s">
        <v>276</v>
      </c>
      <c r="B44" s="120"/>
      <c r="C44" s="121"/>
      <c r="D44" s="425"/>
      <c r="E44" s="117">
        <f>SUM(E45:E50)</f>
        <v>0</v>
      </c>
      <c r="F44" s="83" t="s">
        <v>136</v>
      </c>
    </row>
    <row r="45" spans="1:6" s="304" customFormat="1" ht="13.5">
      <c r="A45" s="298" t="s">
        <v>277</v>
      </c>
      <c r="B45" s="299"/>
      <c r="C45" s="300"/>
      <c r="D45" s="301"/>
      <c r="E45" s="302"/>
      <c r="F45" s="303"/>
    </row>
    <row r="46" spans="1:6" ht="13.5">
      <c r="A46" s="222" t="s">
        <v>505</v>
      </c>
      <c r="B46" s="218" t="s">
        <v>83</v>
      </c>
      <c r="C46" s="219">
        <v>120</v>
      </c>
      <c r="D46" s="223"/>
      <c r="E46" s="221">
        <f>D46*C46</f>
        <v>0</v>
      </c>
      <c r="F46" s="85"/>
    </row>
    <row r="47" spans="1:6" ht="13.5">
      <c r="A47" s="222" t="s">
        <v>506</v>
      </c>
      <c r="B47" s="218" t="s">
        <v>83</v>
      </c>
      <c r="C47" s="219">
        <v>18</v>
      </c>
      <c r="D47" s="223"/>
      <c r="E47" s="221">
        <f>D47*C47</f>
        <v>0</v>
      </c>
      <c r="F47" s="85"/>
    </row>
    <row r="48" spans="1:6" ht="13.5">
      <c r="A48" s="222" t="s">
        <v>507</v>
      </c>
      <c r="B48" s="218" t="s">
        <v>83</v>
      </c>
      <c r="C48" s="219">
        <v>18</v>
      </c>
      <c r="D48" s="223"/>
      <c r="E48" s="221">
        <f>D48*C48</f>
        <v>0</v>
      </c>
      <c r="F48" s="85"/>
    </row>
    <row r="49" spans="1:6" s="304" customFormat="1" ht="13.5">
      <c r="A49" s="305" t="s">
        <v>278</v>
      </c>
      <c r="B49" s="306"/>
      <c r="C49" s="307"/>
      <c r="D49" s="308"/>
      <c r="E49" s="309"/>
      <c r="F49" s="303"/>
    </row>
    <row r="50" spans="1:6" ht="13.5">
      <c r="A50" s="222" t="s">
        <v>505</v>
      </c>
      <c r="B50" s="218" t="s">
        <v>83</v>
      </c>
      <c r="C50" s="219">
        <v>61</v>
      </c>
      <c r="D50" s="223"/>
      <c r="E50" s="221">
        <f>D50*C50</f>
        <v>0</v>
      </c>
      <c r="F50" s="85"/>
    </row>
    <row r="51" spans="1:6" ht="6" customHeight="1" thickBot="1">
      <c r="A51" s="89"/>
      <c r="B51" s="122"/>
      <c r="C51" s="123"/>
      <c r="D51" s="424"/>
      <c r="E51" s="87"/>
      <c r="F51" s="88"/>
    </row>
    <row r="52" spans="1:6" ht="13.5" thickBot="1">
      <c r="A52" s="90" t="s">
        <v>279</v>
      </c>
      <c r="B52" s="120"/>
      <c r="C52" s="121"/>
      <c r="D52" s="425"/>
      <c r="E52" s="117">
        <f>SUM(E53:E62)</f>
        <v>0</v>
      </c>
      <c r="F52" s="83" t="s">
        <v>136</v>
      </c>
    </row>
    <row r="53" spans="1:6" s="304" customFormat="1" ht="13.5">
      <c r="A53" s="298" t="s">
        <v>280</v>
      </c>
      <c r="B53" s="299"/>
      <c r="C53" s="300"/>
      <c r="D53" s="301"/>
      <c r="E53" s="302"/>
      <c r="F53" s="303"/>
    </row>
    <row r="54" spans="1:6" ht="13.5">
      <c r="A54" s="222" t="s">
        <v>508</v>
      </c>
      <c r="B54" s="218" t="s">
        <v>83</v>
      </c>
      <c r="C54" s="219">
        <f>C46</f>
        <v>120</v>
      </c>
      <c r="D54" s="223"/>
      <c r="E54" s="221">
        <f>D54*C54</f>
        <v>0</v>
      </c>
      <c r="F54" s="85"/>
    </row>
    <row r="55" spans="1:6" ht="13.5">
      <c r="A55" s="222" t="s">
        <v>509</v>
      </c>
      <c r="B55" s="218" t="s">
        <v>83</v>
      </c>
      <c r="C55" s="219">
        <f>C47</f>
        <v>18</v>
      </c>
      <c r="D55" s="223"/>
      <c r="E55" s="221">
        <f>D55*C55</f>
        <v>0</v>
      </c>
      <c r="F55" s="85"/>
    </row>
    <row r="56" spans="1:6" ht="13.5">
      <c r="A56" s="222" t="s">
        <v>510</v>
      </c>
      <c r="B56" s="218" t="s">
        <v>83</v>
      </c>
      <c r="C56" s="219">
        <f>C36+C48</f>
        <v>43</v>
      </c>
      <c r="D56" s="223"/>
      <c r="E56" s="221">
        <f>D56*C56</f>
        <v>0</v>
      </c>
      <c r="F56" s="85"/>
    </row>
    <row r="57" spans="1:6" ht="13.5">
      <c r="A57" s="222" t="s">
        <v>1268</v>
      </c>
      <c r="B57" s="218" t="s">
        <v>83</v>
      </c>
      <c r="C57" s="219">
        <f>C37</f>
        <v>65</v>
      </c>
      <c r="D57" s="223"/>
      <c r="E57" s="221">
        <f>D57*C57</f>
        <v>0</v>
      </c>
      <c r="F57" s="85"/>
    </row>
    <row r="58" spans="1:6" ht="13.5">
      <c r="A58" s="222" t="s">
        <v>281</v>
      </c>
      <c r="B58" s="218" t="s">
        <v>83</v>
      </c>
      <c r="C58" s="219">
        <f>SUM(C54:C57)</f>
        <v>246</v>
      </c>
      <c r="D58" s="223"/>
      <c r="E58" s="221">
        <f>D58*C58</f>
        <v>0</v>
      </c>
      <c r="F58" s="85"/>
    </row>
    <row r="59" spans="1:6" s="304" customFormat="1" ht="13.5">
      <c r="A59" s="305" t="s">
        <v>282</v>
      </c>
      <c r="B59" s="306"/>
      <c r="C59" s="307"/>
      <c r="D59" s="308"/>
      <c r="E59" s="309"/>
      <c r="F59" s="303"/>
    </row>
    <row r="60" spans="1:6" ht="13.5">
      <c r="A60" s="222" t="s">
        <v>283</v>
      </c>
      <c r="B60" s="218" t="s">
        <v>83</v>
      </c>
      <c r="C60" s="219">
        <f>C50</f>
        <v>61</v>
      </c>
      <c r="D60" s="223"/>
      <c r="E60" s="221">
        <f>D60*C60</f>
        <v>0</v>
      </c>
      <c r="F60" s="85"/>
    </row>
    <row r="61" spans="1:6" ht="13.5">
      <c r="A61" s="222" t="s">
        <v>284</v>
      </c>
      <c r="B61" s="218" t="s">
        <v>69</v>
      </c>
      <c r="C61" s="219">
        <v>1</v>
      </c>
      <c r="D61" s="223"/>
      <c r="E61" s="221">
        <f>D61*C61</f>
        <v>0</v>
      </c>
      <c r="F61" s="85"/>
    </row>
    <row r="62" spans="1:6" ht="13.5">
      <c r="A62" s="222" t="s">
        <v>285</v>
      </c>
      <c r="B62" s="218" t="s">
        <v>69</v>
      </c>
      <c r="C62" s="219">
        <v>1</v>
      </c>
      <c r="D62" s="223"/>
      <c r="E62" s="221">
        <f>D62*C62</f>
        <v>0</v>
      </c>
      <c r="F62" s="85"/>
    </row>
    <row r="63" spans="1:6" ht="6" customHeight="1" thickBot="1">
      <c r="A63" s="89"/>
      <c r="B63" s="122"/>
      <c r="C63" s="123"/>
      <c r="D63" s="424"/>
      <c r="E63" s="87"/>
      <c r="F63" s="88"/>
    </row>
    <row r="64" spans="1:6" ht="13.5" thickBot="1">
      <c r="A64" s="90" t="s">
        <v>1269</v>
      </c>
      <c r="B64" s="120"/>
      <c r="C64" s="121"/>
      <c r="D64" s="425"/>
      <c r="E64" s="117">
        <f>SUM(E65:E69)</f>
        <v>0</v>
      </c>
      <c r="F64" s="83" t="s">
        <v>136</v>
      </c>
    </row>
    <row r="65" spans="1:6" ht="13.5">
      <c r="A65" s="222" t="s">
        <v>286</v>
      </c>
      <c r="B65" s="218" t="s">
        <v>69</v>
      </c>
      <c r="C65" s="219">
        <v>40</v>
      </c>
      <c r="D65" s="223"/>
      <c r="E65" s="221">
        <f>D65*C65</f>
        <v>0</v>
      </c>
      <c r="F65" s="85"/>
    </row>
    <row r="66" spans="1:6" ht="13.5">
      <c r="A66" s="222" t="s">
        <v>287</v>
      </c>
      <c r="B66" s="218" t="s">
        <v>69</v>
      </c>
      <c r="C66" s="219">
        <v>20</v>
      </c>
      <c r="D66" s="223"/>
      <c r="E66" s="221">
        <f>D66*C66</f>
        <v>0</v>
      </c>
      <c r="F66" s="85"/>
    </row>
    <row r="67" spans="1:6" ht="13.5">
      <c r="A67" s="222" t="s">
        <v>288</v>
      </c>
      <c r="B67" s="218" t="s">
        <v>69</v>
      </c>
      <c r="C67" s="219">
        <v>20</v>
      </c>
      <c r="D67" s="223"/>
      <c r="E67" s="221">
        <f>D67*C67</f>
        <v>0</v>
      </c>
      <c r="F67" s="85"/>
    </row>
    <row r="68" spans="1:6" ht="13.5">
      <c r="A68" s="222" t="s">
        <v>289</v>
      </c>
      <c r="B68" s="218" t="s">
        <v>69</v>
      </c>
      <c r="C68" s="219">
        <v>80</v>
      </c>
      <c r="D68" s="223"/>
      <c r="E68" s="221">
        <f>D68*C68</f>
        <v>0</v>
      </c>
      <c r="F68" s="85"/>
    </row>
    <row r="69" spans="1:6" ht="13.5">
      <c r="A69" s="222" t="s">
        <v>290</v>
      </c>
      <c r="B69" s="218" t="s">
        <v>69</v>
      </c>
      <c r="C69" s="219">
        <v>80</v>
      </c>
      <c r="D69" s="223"/>
      <c r="E69" s="221">
        <f>D69*C69</f>
        <v>0</v>
      </c>
      <c r="F69" s="85"/>
    </row>
    <row r="70" spans="1:6" ht="6" customHeight="1" thickBot="1">
      <c r="A70" s="89"/>
      <c r="B70" s="122"/>
      <c r="C70" s="123"/>
      <c r="D70" s="424"/>
      <c r="E70" s="87"/>
      <c r="F70" s="88"/>
    </row>
    <row r="71" spans="1:6" ht="13.5" thickBot="1">
      <c r="A71" s="90" t="s">
        <v>1271</v>
      </c>
      <c r="B71" s="120"/>
      <c r="C71" s="121"/>
      <c r="D71" s="425"/>
      <c r="E71" s="117">
        <f>SUM(E72:E84)</f>
        <v>0</v>
      </c>
      <c r="F71" s="83" t="s">
        <v>136</v>
      </c>
    </row>
    <row r="72" spans="1:6" s="304" customFormat="1" ht="13.5">
      <c r="A72" s="305" t="s">
        <v>1270</v>
      </c>
      <c r="B72" s="306"/>
      <c r="C72" s="307"/>
      <c r="D72" s="308"/>
      <c r="E72" s="309"/>
      <c r="F72" s="303"/>
    </row>
    <row r="73" spans="1:6" ht="13.5">
      <c r="A73" s="222" t="s">
        <v>2257</v>
      </c>
      <c r="B73" s="218" t="s">
        <v>69</v>
      </c>
      <c r="C73" s="219">
        <v>3</v>
      </c>
      <c r="D73" s="223"/>
      <c r="E73" s="221">
        <f>D73*C73</f>
        <v>0</v>
      </c>
      <c r="F73" s="85"/>
    </row>
    <row r="74" spans="1:6" s="304" customFormat="1" ht="13.5">
      <c r="A74" s="305" t="s">
        <v>511</v>
      </c>
      <c r="B74" s="306"/>
      <c r="C74" s="307"/>
      <c r="D74" s="308"/>
      <c r="E74" s="309"/>
      <c r="F74" s="303"/>
    </row>
    <row r="75" spans="1:6" ht="13.5">
      <c r="A75" s="222" t="s">
        <v>2258</v>
      </c>
      <c r="B75" s="218" t="s">
        <v>69</v>
      </c>
      <c r="C75" s="219">
        <v>8</v>
      </c>
      <c r="D75" s="223"/>
      <c r="E75" s="221">
        <f>D75*C75</f>
        <v>0</v>
      </c>
      <c r="F75" s="85"/>
    </row>
    <row r="76" spans="1:6" ht="13.5">
      <c r="A76" s="222" t="s">
        <v>1272</v>
      </c>
      <c r="B76" s="218" t="s">
        <v>69</v>
      </c>
      <c r="C76" s="219">
        <v>16</v>
      </c>
      <c r="D76" s="223"/>
      <c r="E76" s="221">
        <f>D76*C76</f>
        <v>0</v>
      </c>
      <c r="F76" s="85"/>
    </row>
    <row r="77" spans="1:6" s="304" customFormat="1" ht="13.5">
      <c r="A77" s="305" t="s">
        <v>1273</v>
      </c>
      <c r="B77" s="306"/>
      <c r="C77" s="307"/>
      <c r="D77" s="308"/>
      <c r="E77" s="309"/>
      <c r="F77" s="303"/>
    </row>
    <row r="78" spans="1:6" ht="13.5">
      <c r="A78" s="222" t="s">
        <v>2259</v>
      </c>
      <c r="B78" s="218" t="s">
        <v>69</v>
      </c>
      <c r="C78" s="219">
        <v>1</v>
      </c>
      <c r="D78" s="223"/>
      <c r="E78" s="221">
        <f>D78*C78</f>
        <v>0</v>
      </c>
      <c r="F78" s="85"/>
    </row>
    <row r="79" spans="1:6" ht="13.5">
      <c r="A79" s="222" t="s">
        <v>2260</v>
      </c>
      <c r="B79" s="218" t="s">
        <v>69</v>
      </c>
      <c r="C79" s="219">
        <v>1</v>
      </c>
      <c r="D79" s="223"/>
      <c r="E79" s="221">
        <f>D79*C79</f>
        <v>0</v>
      </c>
      <c r="F79" s="85"/>
    </row>
    <row r="80" spans="1:6" s="304" customFormat="1" ht="13.5">
      <c r="A80" s="305" t="s">
        <v>1274</v>
      </c>
      <c r="B80" s="306"/>
      <c r="C80" s="307"/>
      <c r="D80" s="308"/>
      <c r="E80" s="309"/>
      <c r="F80" s="303"/>
    </row>
    <row r="81" spans="1:6" ht="13.5">
      <c r="A81" s="222" t="s">
        <v>2261</v>
      </c>
      <c r="B81" s="218" t="s">
        <v>69</v>
      </c>
      <c r="C81" s="219">
        <v>1</v>
      </c>
      <c r="D81" s="223"/>
      <c r="E81" s="221">
        <f>D81*C81</f>
        <v>0</v>
      </c>
      <c r="F81" s="85"/>
    </row>
    <row r="82" spans="1:6" ht="13.5">
      <c r="A82" s="222" t="s">
        <v>1272</v>
      </c>
      <c r="B82" s="218" t="s">
        <v>69</v>
      </c>
      <c r="C82" s="219">
        <v>2</v>
      </c>
      <c r="D82" s="223"/>
      <c r="E82" s="221">
        <f>D82*C82</f>
        <v>0</v>
      </c>
      <c r="F82" s="85"/>
    </row>
    <row r="83" spans="1:6" s="304" customFormat="1" ht="13.5">
      <c r="A83" s="305" t="s">
        <v>291</v>
      </c>
      <c r="B83" s="306"/>
      <c r="C83" s="307"/>
      <c r="D83" s="308"/>
      <c r="E83" s="309"/>
      <c r="F83" s="303"/>
    </row>
    <row r="84" spans="1:6" ht="13.5">
      <c r="A84" s="222" t="s">
        <v>292</v>
      </c>
      <c r="B84" s="218" t="s">
        <v>69</v>
      </c>
      <c r="C84" s="219">
        <v>2</v>
      </c>
      <c r="D84" s="223"/>
      <c r="E84" s="221">
        <f>D84*C84</f>
        <v>0</v>
      </c>
      <c r="F84" s="85"/>
    </row>
    <row r="85" spans="1:6" s="304" customFormat="1" ht="13.5">
      <c r="A85" s="305" t="s">
        <v>1275</v>
      </c>
      <c r="B85" s="306"/>
      <c r="C85" s="307"/>
      <c r="D85" s="308"/>
      <c r="E85" s="309"/>
      <c r="F85" s="303"/>
    </row>
    <row r="86" spans="1:6" ht="13.5">
      <c r="A86" s="222" t="s">
        <v>2262</v>
      </c>
      <c r="B86" s="218" t="s">
        <v>69</v>
      </c>
      <c r="C86" s="219">
        <v>2</v>
      </c>
      <c r="D86" s="223"/>
      <c r="E86" s="221">
        <f>D86*C86</f>
        <v>0</v>
      </c>
      <c r="F86" s="85"/>
    </row>
    <row r="87" spans="1:6" ht="13.5">
      <c r="A87" s="222" t="s">
        <v>2263</v>
      </c>
      <c r="B87" s="218" t="s">
        <v>69</v>
      </c>
      <c r="C87" s="219">
        <v>2</v>
      </c>
      <c r="D87" s="223"/>
      <c r="E87" s="221">
        <f>D87*C87</f>
        <v>0</v>
      </c>
      <c r="F87" s="85"/>
    </row>
    <row r="88" spans="1:6" ht="6" customHeight="1" thickBot="1">
      <c r="A88" s="89"/>
      <c r="B88" s="122"/>
      <c r="C88" s="123"/>
      <c r="D88" s="424"/>
      <c r="E88" s="87"/>
      <c r="F88" s="88"/>
    </row>
    <row r="89" spans="1:6" ht="13.5" thickBot="1">
      <c r="A89" s="90" t="s">
        <v>1276</v>
      </c>
      <c r="B89" s="120"/>
      <c r="C89" s="121"/>
      <c r="D89" s="425"/>
      <c r="E89" s="117">
        <f>SUM(E90:E102)</f>
        <v>0</v>
      </c>
      <c r="F89" s="83" t="s">
        <v>136</v>
      </c>
    </row>
    <row r="90" spans="1:6" ht="13.5">
      <c r="A90" s="222" t="s">
        <v>512</v>
      </c>
      <c r="B90" s="218" t="s">
        <v>83</v>
      </c>
      <c r="C90" s="219">
        <v>31</v>
      </c>
      <c r="D90" s="223"/>
      <c r="E90" s="221">
        <f aca="true" t="shared" si="1" ref="E90:E100">D90*C90</f>
        <v>0</v>
      </c>
      <c r="F90" s="85"/>
    </row>
    <row r="91" spans="1:6" ht="13.5">
      <c r="A91" s="222" t="s">
        <v>513</v>
      </c>
      <c r="B91" s="218" t="s">
        <v>69</v>
      </c>
      <c r="C91" s="219">
        <v>1</v>
      </c>
      <c r="D91" s="223"/>
      <c r="E91" s="221">
        <f t="shared" si="1"/>
        <v>0</v>
      </c>
      <c r="F91" s="85"/>
    </row>
    <row r="92" spans="1:6" ht="13.5">
      <c r="A92" s="222" t="s">
        <v>520</v>
      </c>
      <c r="B92" s="218" t="s">
        <v>83</v>
      </c>
      <c r="C92" s="219">
        <f>C90</f>
        <v>31</v>
      </c>
      <c r="D92" s="223"/>
      <c r="E92" s="221">
        <f t="shared" si="1"/>
        <v>0</v>
      </c>
      <c r="F92" s="85"/>
    </row>
    <row r="93" spans="1:6" ht="13.5">
      <c r="A93" s="222" t="s">
        <v>514</v>
      </c>
      <c r="B93" s="218" t="s">
        <v>72</v>
      </c>
      <c r="C93" s="219">
        <f>SUM(E9:E88)/2</f>
        <v>0</v>
      </c>
      <c r="D93" s="316"/>
      <c r="E93" s="221">
        <f>D93*C93</f>
        <v>0</v>
      </c>
      <c r="F93" s="85"/>
    </row>
    <row r="94" spans="1:6" ht="13.5">
      <c r="A94" s="222" t="s">
        <v>521</v>
      </c>
      <c r="B94" s="218" t="s">
        <v>72</v>
      </c>
      <c r="C94" s="219">
        <f>E46+E50</f>
        <v>0</v>
      </c>
      <c r="D94" s="316"/>
      <c r="E94" s="221">
        <f>D94*C94</f>
        <v>0</v>
      </c>
      <c r="F94" s="85"/>
    </row>
    <row r="95" spans="1:6" ht="13.5">
      <c r="A95" s="222" t="s">
        <v>522</v>
      </c>
      <c r="B95" s="218" t="s">
        <v>72</v>
      </c>
      <c r="C95" s="219">
        <f>E47</f>
        <v>0</v>
      </c>
      <c r="D95" s="316"/>
      <c r="E95" s="221">
        <f>D95*C95</f>
        <v>0</v>
      </c>
      <c r="F95" s="85"/>
    </row>
    <row r="96" spans="1:6" ht="13.5">
      <c r="A96" s="222" t="s">
        <v>523</v>
      </c>
      <c r="B96" s="218" t="s">
        <v>72</v>
      </c>
      <c r="C96" s="219">
        <f>E48</f>
        <v>0</v>
      </c>
      <c r="D96" s="316"/>
      <c r="E96" s="221">
        <f>D96*C96</f>
        <v>0</v>
      </c>
      <c r="F96" s="85"/>
    </row>
    <row r="97" spans="1:6" ht="13.5">
      <c r="A97" s="222" t="s">
        <v>515</v>
      </c>
      <c r="B97" s="218" t="s">
        <v>83</v>
      </c>
      <c r="C97" s="219">
        <f>SUM(C46:C51)</f>
        <v>217</v>
      </c>
      <c r="D97" s="223"/>
      <c r="E97" s="221">
        <f t="shared" si="1"/>
        <v>0</v>
      </c>
      <c r="F97" s="85"/>
    </row>
    <row r="98" spans="1:6" ht="13.5">
      <c r="A98" s="222" t="s">
        <v>524</v>
      </c>
      <c r="B98" s="218" t="s">
        <v>83</v>
      </c>
      <c r="C98" s="219">
        <f>C97</f>
        <v>217</v>
      </c>
      <c r="D98" s="223"/>
      <c r="E98" s="221">
        <f t="shared" si="1"/>
        <v>0</v>
      </c>
      <c r="F98" s="85"/>
    </row>
    <row r="99" spans="1:6" ht="13.5">
      <c r="A99" s="222" t="s">
        <v>516</v>
      </c>
      <c r="B99" s="218" t="s">
        <v>69</v>
      </c>
      <c r="C99" s="219">
        <v>1</v>
      </c>
      <c r="D99" s="223"/>
      <c r="E99" s="221">
        <f>D99*C99</f>
        <v>0</v>
      </c>
      <c r="F99" s="85"/>
    </row>
    <row r="100" spans="1:6" ht="13.5">
      <c r="A100" s="222" t="s">
        <v>1985</v>
      </c>
      <c r="B100" s="218" t="s">
        <v>69</v>
      </c>
      <c r="C100" s="219">
        <v>1</v>
      </c>
      <c r="D100" s="223"/>
      <c r="E100" s="221">
        <f t="shared" si="1"/>
        <v>0</v>
      </c>
      <c r="F100" s="85"/>
    </row>
    <row r="101" spans="1:6" ht="13.5">
      <c r="A101" s="222" t="s">
        <v>517</v>
      </c>
      <c r="B101" s="218" t="s">
        <v>69</v>
      </c>
      <c r="C101" s="219">
        <v>1</v>
      </c>
      <c r="D101" s="223"/>
      <c r="E101" s="221">
        <f>D101*C101</f>
        <v>0</v>
      </c>
      <c r="F101" s="85"/>
    </row>
    <row r="102" spans="1:6" ht="13.5">
      <c r="A102" s="222" t="s">
        <v>518</v>
      </c>
      <c r="B102" s="218" t="s">
        <v>519</v>
      </c>
      <c r="C102" s="219">
        <v>4</v>
      </c>
      <c r="D102" s="223"/>
      <c r="E102" s="221">
        <f>D102*C102</f>
        <v>0</v>
      </c>
      <c r="F102" s="85"/>
    </row>
    <row r="103" spans="1:6" ht="6" customHeight="1" thickBot="1">
      <c r="A103" s="89"/>
      <c r="B103" s="122"/>
      <c r="C103" s="123"/>
      <c r="D103" s="424"/>
      <c r="E103" s="87"/>
      <c r="F103" s="88"/>
    </row>
    <row r="104" spans="1:8" ht="16.9" customHeight="1" thickBot="1">
      <c r="A104" s="124" t="s">
        <v>214</v>
      </c>
      <c r="B104" s="93"/>
      <c r="C104" s="125"/>
      <c r="D104" s="94"/>
      <c r="E104" s="95">
        <f>SUM(E12:E103)/2</f>
        <v>0</v>
      </c>
      <c r="F104" s="126" t="s">
        <v>136</v>
      </c>
      <c r="H104" s="127">
        <f>SUM(E13:E104)/3</f>
        <v>0</v>
      </c>
    </row>
    <row r="105" spans="1:6" ht="13.5">
      <c r="A105" s="86"/>
      <c r="B105" s="91"/>
      <c r="C105" s="92"/>
      <c r="D105" s="82"/>
      <c r="E105" s="82"/>
      <c r="F105" s="96"/>
    </row>
    <row r="106" spans="1:7" ht="13.5">
      <c r="A106" s="714" t="s">
        <v>137</v>
      </c>
      <c r="B106" s="714"/>
      <c r="C106" s="714"/>
      <c r="D106" s="714"/>
      <c r="E106" s="714"/>
      <c r="F106" s="714"/>
      <c r="G106" s="102"/>
    </row>
    <row r="107" spans="1:7" ht="4.9" customHeight="1">
      <c r="A107" s="97"/>
      <c r="B107" s="98"/>
      <c r="C107" s="99"/>
      <c r="D107" s="100"/>
      <c r="E107" s="101"/>
      <c r="F107" s="102"/>
      <c r="G107" s="102"/>
    </row>
    <row r="108" spans="1:7" ht="13.5">
      <c r="A108" s="713" t="s">
        <v>138</v>
      </c>
      <c r="B108" s="713"/>
      <c r="C108" s="713"/>
      <c r="D108" s="713"/>
      <c r="E108" s="713"/>
      <c r="F108" s="713"/>
      <c r="G108" s="102"/>
    </row>
    <row r="109" spans="1:7" ht="13.5">
      <c r="A109" s="713" t="s">
        <v>139</v>
      </c>
      <c r="B109" s="713"/>
      <c r="C109" s="713"/>
      <c r="D109" s="713"/>
      <c r="E109" s="713"/>
      <c r="F109" s="713"/>
      <c r="G109" s="102"/>
    </row>
    <row r="110" spans="1:7" ht="13.5">
      <c r="A110" s="713" t="s">
        <v>140</v>
      </c>
      <c r="B110" s="713"/>
      <c r="C110" s="713"/>
      <c r="D110" s="713"/>
      <c r="E110" s="713"/>
      <c r="F110" s="713"/>
      <c r="G110" s="102"/>
    </row>
    <row r="111" spans="1:7" ht="7.9" customHeight="1">
      <c r="A111" s="97"/>
      <c r="B111" s="98"/>
      <c r="C111" s="99"/>
      <c r="D111" s="100"/>
      <c r="E111" s="101"/>
      <c r="F111" s="102"/>
      <c r="G111" s="102"/>
    </row>
    <row r="112" spans="1:7" ht="33.6" customHeight="1">
      <c r="A112" s="697" t="s">
        <v>141</v>
      </c>
      <c r="B112" s="697"/>
      <c r="C112" s="697"/>
      <c r="D112" s="697"/>
      <c r="E112" s="697"/>
      <c r="F112" s="697"/>
      <c r="G112" s="84"/>
    </row>
    <row r="113" spans="1:7" ht="6.75" customHeight="1">
      <c r="A113" s="97"/>
      <c r="B113" s="98"/>
      <c r="C113" s="99"/>
      <c r="D113" s="100"/>
      <c r="E113" s="101"/>
      <c r="F113" s="102"/>
      <c r="G113" s="102"/>
    </row>
    <row r="114" spans="1:7" ht="69.75" customHeight="1">
      <c r="A114" s="697" t="s">
        <v>142</v>
      </c>
      <c r="B114" s="697"/>
      <c r="C114" s="697"/>
      <c r="D114" s="697"/>
      <c r="E114" s="697"/>
      <c r="F114" s="697"/>
      <c r="G114" s="84"/>
    </row>
    <row r="115" spans="1:7" ht="5.45" customHeight="1">
      <c r="A115" s="97"/>
      <c r="B115" s="98"/>
      <c r="C115" s="99"/>
      <c r="D115" s="100"/>
      <c r="E115" s="101"/>
      <c r="F115" s="102"/>
      <c r="G115" s="102"/>
    </row>
    <row r="116" spans="1:7" ht="14.25" customHeight="1">
      <c r="A116" s="698" t="s">
        <v>143</v>
      </c>
      <c r="B116" s="698"/>
      <c r="C116" s="698"/>
      <c r="D116" s="698"/>
      <c r="E116" s="698"/>
      <c r="F116" s="698"/>
      <c r="G116" s="128"/>
    </row>
    <row r="117" spans="1:7" ht="4.15" customHeight="1">
      <c r="A117" s="97"/>
      <c r="B117" s="98"/>
      <c r="C117" s="99"/>
      <c r="D117" s="100"/>
      <c r="E117" s="101"/>
      <c r="F117" s="102"/>
      <c r="G117" s="102"/>
    </row>
    <row r="118" spans="1:7" ht="25.5" customHeight="1">
      <c r="A118" s="699" t="s">
        <v>144</v>
      </c>
      <c r="B118" s="699"/>
      <c r="C118" s="699"/>
      <c r="D118" s="699"/>
      <c r="E118" s="699"/>
      <c r="F118" s="699"/>
      <c r="G118" s="128"/>
    </row>
    <row r="119" spans="1:6" ht="3" customHeight="1">
      <c r="A119" s="86"/>
      <c r="B119" s="91"/>
      <c r="C119" s="92"/>
      <c r="D119" s="82"/>
      <c r="E119" s="82"/>
      <c r="F119" s="96"/>
    </row>
    <row r="120" spans="1:6" ht="13.5">
      <c r="A120" s="86"/>
      <c r="B120" s="91"/>
      <c r="C120" s="92"/>
      <c r="D120" s="82"/>
      <c r="E120" s="82"/>
      <c r="F120" s="96"/>
    </row>
    <row r="121" spans="1:6" ht="13.5">
      <c r="A121" s="86"/>
      <c r="B121" s="91"/>
      <c r="C121" s="92"/>
      <c r="D121" s="82"/>
      <c r="E121" s="82"/>
      <c r="F121" s="96"/>
    </row>
    <row r="122" spans="1:6" ht="13.5">
      <c r="A122" s="86"/>
      <c r="B122" s="91"/>
      <c r="C122" s="92"/>
      <c r="D122" s="82"/>
      <c r="E122" s="82"/>
      <c r="F122" s="96"/>
    </row>
    <row r="123" spans="1:6" ht="13.5">
      <c r="A123" s="86"/>
      <c r="B123" s="91"/>
      <c r="C123" s="92"/>
      <c r="D123" s="82"/>
      <c r="E123" s="82"/>
      <c r="F123" s="96"/>
    </row>
    <row r="124" spans="1:6" ht="13.5">
      <c r="A124" s="86"/>
      <c r="B124" s="91"/>
      <c r="C124" s="92"/>
      <c r="D124" s="82"/>
      <c r="E124" s="82"/>
      <c r="F124" s="96"/>
    </row>
    <row r="125" spans="1:6" ht="13.5">
      <c r="A125" s="86"/>
      <c r="B125" s="91"/>
      <c r="C125" s="92"/>
      <c r="D125" s="82"/>
      <c r="E125" s="82"/>
      <c r="F125" s="96"/>
    </row>
    <row r="126" spans="1:6" ht="13.5">
      <c r="A126" s="86"/>
      <c r="B126" s="91"/>
      <c r="C126" s="92"/>
      <c r="D126" s="82"/>
      <c r="E126" s="82"/>
      <c r="F126" s="96"/>
    </row>
    <row r="127" spans="1:6" ht="13.5">
      <c r="A127" s="86"/>
      <c r="B127" s="91"/>
      <c r="C127" s="92"/>
      <c r="D127" s="82"/>
      <c r="E127" s="82"/>
      <c r="F127" s="96"/>
    </row>
    <row r="128" spans="1:6" ht="13.5">
      <c r="A128" s="86"/>
      <c r="B128" s="91"/>
      <c r="C128" s="92"/>
      <c r="D128" s="82"/>
      <c r="E128" s="82"/>
      <c r="F128" s="96"/>
    </row>
    <row r="129" spans="1:6" ht="13.5">
      <c r="A129" s="86"/>
      <c r="B129" s="91"/>
      <c r="C129" s="92"/>
      <c r="D129" s="82"/>
      <c r="E129" s="82"/>
      <c r="F129" s="96"/>
    </row>
    <row r="130" spans="1:6" ht="13.5">
      <c r="A130" s="86"/>
      <c r="B130" s="91"/>
      <c r="C130" s="92"/>
      <c r="D130" s="82"/>
      <c r="E130" s="82"/>
      <c r="F130" s="96"/>
    </row>
    <row r="131" spans="1:6" ht="13.5">
      <c r="A131" s="86"/>
      <c r="B131" s="91"/>
      <c r="C131" s="92"/>
      <c r="D131" s="82"/>
      <c r="E131" s="82"/>
      <c r="F131" s="96"/>
    </row>
    <row r="132" spans="1:6" ht="13.5">
      <c r="A132" s="86"/>
      <c r="B132" s="91"/>
      <c r="C132" s="92"/>
      <c r="D132" s="82"/>
      <c r="E132" s="82"/>
      <c r="F132" s="96"/>
    </row>
    <row r="133" spans="1:6" ht="13.5">
      <c r="A133" s="86"/>
      <c r="B133" s="91"/>
      <c r="C133" s="92"/>
      <c r="D133" s="82"/>
      <c r="E133" s="82"/>
      <c r="F133" s="96"/>
    </row>
    <row r="134" spans="1:6" ht="13.5">
      <c r="A134" s="86"/>
      <c r="B134" s="91"/>
      <c r="C134" s="92"/>
      <c r="D134" s="82"/>
      <c r="E134" s="82"/>
      <c r="F134" s="96"/>
    </row>
    <row r="135" spans="1:6" ht="13.5">
      <c r="A135" s="86"/>
      <c r="B135" s="91"/>
      <c r="C135" s="92"/>
      <c r="D135" s="82"/>
      <c r="E135" s="82"/>
      <c r="F135" s="96"/>
    </row>
    <row r="136" spans="1:6" ht="13.5">
      <c r="A136" s="86"/>
      <c r="B136" s="91"/>
      <c r="C136" s="92"/>
      <c r="D136" s="82"/>
      <c r="E136" s="82"/>
      <c r="F136" s="96"/>
    </row>
    <row r="137" spans="1:6" ht="13.5">
      <c r="A137" s="86"/>
      <c r="B137" s="91"/>
      <c r="C137" s="92"/>
      <c r="D137" s="82"/>
      <c r="E137" s="82"/>
      <c r="F137" s="96"/>
    </row>
    <row r="138" spans="1:6" ht="13.5">
      <c r="A138" s="86"/>
      <c r="B138" s="91"/>
      <c r="C138" s="92"/>
      <c r="D138" s="82"/>
      <c r="E138" s="82"/>
      <c r="F138" s="96"/>
    </row>
    <row r="139" spans="1:6" ht="13.5">
      <c r="A139" s="86"/>
      <c r="B139" s="91"/>
      <c r="C139" s="92"/>
      <c r="D139" s="82"/>
      <c r="E139" s="82"/>
      <c r="F139" s="96"/>
    </row>
    <row r="140" spans="1:6" ht="13.5">
      <c r="A140" s="86"/>
      <c r="B140" s="91"/>
      <c r="C140" s="92"/>
      <c r="D140" s="82"/>
      <c r="E140" s="82"/>
      <c r="F140" s="96"/>
    </row>
    <row r="141" spans="1:6" ht="13.5">
      <c r="A141" s="86"/>
      <c r="B141" s="91"/>
      <c r="C141" s="92"/>
      <c r="D141" s="82"/>
      <c r="E141" s="82"/>
      <c r="F141" s="96"/>
    </row>
    <row r="142" spans="1:6" ht="13.5">
      <c r="A142" s="86"/>
      <c r="B142" s="91"/>
      <c r="C142" s="92"/>
      <c r="D142" s="82"/>
      <c r="E142" s="82"/>
      <c r="F142" s="96"/>
    </row>
    <row r="143" spans="1:6" ht="13.5">
      <c r="A143" s="86"/>
      <c r="B143" s="91"/>
      <c r="C143" s="92"/>
      <c r="D143" s="82"/>
      <c r="E143" s="82"/>
      <c r="F143" s="96"/>
    </row>
    <row r="144" spans="1:6" ht="13.5">
      <c r="A144" s="86"/>
      <c r="B144" s="91"/>
      <c r="C144" s="92"/>
      <c r="D144" s="82"/>
      <c r="E144" s="82"/>
      <c r="F144" s="96"/>
    </row>
    <row r="145" spans="1:6" ht="13.5">
      <c r="A145" s="86"/>
      <c r="B145" s="91"/>
      <c r="C145" s="92"/>
      <c r="D145" s="82"/>
      <c r="E145" s="82"/>
      <c r="F145" s="96"/>
    </row>
    <row r="146" spans="1:6" ht="13.5">
      <c r="A146" s="86"/>
      <c r="B146" s="91"/>
      <c r="C146" s="92"/>
      <c r="D146" s="82"/>
      <c r="E146" s="82"/>
      <c r="F146" s="96"/>
    </row>
    <row r="147" spans="1:6" ht="13.5">
      <c r="A147" s="86"/>
      <c r="B147" s="91"/>
      <c r="C147" s="92"/>
      <c r="D147" s="82"/>
      <c r="E147" s="82"/>
      <c r="F147" s="96"/>
    </row>
    <row r="148" spans="1:6" ht="13.5">
      <c r="A148" s="86"/>
      <c r="B148" s="91"/>
      <c r="C148" s="92"/>
      <c r="D148" s="82"/>
      <c r="E148" s="82"/>
      <c r="F148" s="96"/>
    </row>
    <row r="149" spans="1:6" ht="13.5">
      <c r="A149" s="86"/>
      <c r="B149" s="91"/>
      <c r="C149" s="92"/>
      <c r="D149" s="82"/>
      <c r="E149" s="82"/>
      <c r="F149" s="96"/>
    </row>
    <row r="150" spans="1:6" ht="13.5">
      <c r="A150" s="86"/>
      <c r="B150" s="91"/>
      <c r="C150" s="92"/>
      <c r="D150" s="82"/>
      <c r="E150" s="82"/>
      <c r="F150" s="96"/>
    </row>
    <row r="151" spans="1:6" ht="13.5">
      <c r="A151" s="86"/>
      <c r="B151" s="91"/>
      <c r="C151" s="92"/>
      <c r="D151" s="82"/>
      <c r="E151" s="82"/>
      <c r="F151" s="96"/>
    </row>
    <row r="152" spans="1:6" ht="13.5">
      <c r="A152" s="86"/>
      <c r="B152" s="91"/>
      <c r="C152" s="92"/>
      <c r="D152" s="82"/>
      <c r="E152" s="82"/>
      <c r="F152" s="96"/>
    </row>
    <row r="153" spans="1:6" ht="13.5">
      <c r="A153" s="86"/>
      <c r="B153" s="91"/>
      <c r="C153" s="92"/>
      <c r="D153" s="82"/>
      <c r="E153" s="82"/>
      <c r="F153" s="96"/>
    </row>
    <row r="154" spans="1:6" ht="13.5">
      <c r="A154" s="86"/>
      <c r="B154" s="91"/>
      <c r="C154" s="92"/>
      <c r="D154" s="82"/>
      <c r="E154" s="82"/>
      <c r="F154" s="96"/>
    </row>
    <row r="155" spans="1:6" ht="13.5">
      <c r="A155" s="86"/>
      <c r="B155" s="91"/>
      <c r="C155" s="92"/>
      <c r="D155" s="82"/>
      <c r="E155" s="82"/>
      <c r="F155" s="96"/>
    </row>
    <row r="156" spans="1:6" ht="13.5">
      <c r="A156" s="86"/>
      <c r="B156" s="91"/>
      <c r="C156" s="92"/>
      <c r="D156" s="82"/>
      <c r="E156" s="82"/>
      <c r="F156" s="96"/>
    </row>
    <row r="157" spans="1:6" ht="13.5">
      <c r="A157" s="86"/>
      <c r="B157" s="91"/>
      <c r="C157" s="92"/>
      <c r="D157" s="82"/>
      <c r="E157" s="82"/>
      <c r="F157" s="96"/>
    </row>
    <row r="158" spans="1:6" ht="13.5">
      <c r="A158" s="86"/>
      <c r="B158" s="91"/>
      <c r="C158" s="92"/>
      <c r="D158" s="82"/>
      <c r="E158" s="82"/>
      <c r="F158" s="96"/>
    </row>
    <row r="159" spans="1:6" ht="13.5">
      <c r="A159" s="86"/>
      <c r="B159" s="91"/>
      <c r="C159" s="92"/>
      <c r="D159" s="82"/>
      <c r="E159" s="82"/>
      <c r="F159" s="96"/>
    </row>
    <row r="160" spans="1:6" ht="13.5">
      <c r="A160" s="86"/>
      <c r="B160" s="91"/>
      <c r="C160" s="92"/>
      <c r="D160" s="82"/>
      <c r="E160" s="82"/>
      <c r="F160" s="96"/>
    </row>
    <row r="161" spans="1:6" ht="13.5">
      <c r="A161" s="86"/>
      <c r="B161" s="91"/>
      <c r="C161" s="92"/>
      <c r="D161" s="82"/>
      <c r="E161" s="82"/>
      <c r="F161" s="96"/>
    </row>
    <row r="162" spans="1:6" ht="13.5">
      <c r="A162" s="86"/>
      <c r="B162" s="91"/>
      <c r="C162" s="92"/>
      <c r="D162" s="82"/>
      <c r="E162" s="82"/>
      <c r="F162" s="96"/>
    </row>
    <row r="163" spans="1:6" ht="13.5">
      <c r="A163" s="86"/>
      <c r="B163" s="91"/>
      <c r="C163" s="92"/>
      <c r="D163" s="82"/>
      <c r="E163" s="82"/>
      <c r="F163" s="96"/>
    </row>
    <row r="164" spans="1:6" ht="13.5">
      <c r="A164" s="86"/>
      <c r="B164" s="91"/>
      <c r="C164" s="92"/>
      <c r="D164" s="82"/>
      <c r="E164" s="82"/>
      <c r="F164" s="96"/>
    </row>
    <row r="165" spans="1:6" ht="13.5">
      <c r="A165" s="86"/>
      <c r="B165" s="91"/>
      <c r="C165" s="92"/>
      <c r="D165" s="82"/>
      <c r="E165" s="82"/>
      <c r="F165" s="96"/>
    </row>
    <row r="166" spans="1:6" ht="13.5">
      <c r="A166" s="86"/>
      <c r="B166" s="91"/>
      <c r="C166" s="92"/>
      <c r="D166" s="82"/>
      <c r="E166" s="82"/>
      <c r="F166" s="96"/>
    </row>
    <row r="167" spans="1:6" ht="13.5">
      <c r="A167" s="86"/>
      <c r="B167" s="91"/>
      <c r="C167" s="92"/>
      <c r="D167" s="82"/>
      <c r="E167" s="82"/>
      <c r="F167" s="96"/>
    </row>
    <row r="168" spans="1:6" ht="13.5">
      <c r="A168" s="86"/>
      <c r="B168" s="91"/>
      <c r="C168" s="92"/>
      <c r="D168" s="82"/>
      <c r="E168" s="82"/>
      <c r="F168" s="96"/>
    </row>
    <row r="169" spans="1:6" ht="13.5">
      <c r="A169" s="86"/>
      <c r="B169" s="91"/>
      <c r="C169" s="92"/>
      <c r="D169" s="82"/>
      <c r="E169" s="82"/>
      <c r="F169" s="96"/>
    </row>
    <row r="170" spans="1:6" ht="13.5">
      <c r="A170" s="86"/>
      <c r="B170" s="91"/>
      <c r="C170" s="92"/>
      <c r="D170" s="82"/>
      <c r="E170" s="82"/>
      <c r="F170" s="96"/>
    </row>
    <row r="171" spans="1:6" ht="13.5">
      <c r="A171" s="86"/>
      <c r="B171" s="91"/>
      <c r="C171" s="92"/>
      <c r="D171" s="82"/>
      <c r="E171" s="82"/>
      <c r="F171" s="96"/>
    </row>
    <row r="172" spans="1:6" ht="13.5">
      <c r="A172" s="86"/>
      <c r="B172" s="91"/>
      <c r="C172" s="92"/>
      <c r="D172" s="82"/>
      <c r="E172" s="82"/>
      <c r="F172" s="96"/>
    </row>
    <row r="173" spans="1:6" ht="13.5">
      <c r="A173" s="86"/>
      <c r="B173" s="91"/>
      <c r="C173" s="92"/>
      <c r="D173" s="82"/>
      <c r="E173" s="82"/>
      <c r="F173" s="96"/>
    </row>
    <row r="174" spans="1:6" ht="13.5">
      <c r="A174" s="86"/>
      <c r="B174" s="91"/>
      <c r="C174" s="92"/>
      <c r="D174" s="82"/>
      <c r="E174" s="82"/>
      <c r="F174" s="96"/>
    </row>
    <row r="175" spans="1:6" ht="13.5">
      <c r="A175" s="86"/>
      <c r="B175" s="91"/>
      <c r="C175" s="92"/>
      <c r="D175" s="82"/>
      <c r="E175" s="82"/>
      <c r="F175" s="96"/>
    </row>
    <row r="176" spans="1:6" ht="13.5">
      <c r="A176" s="86"/>
      <c r="B176" s="91"/>
      <c r="C176" s="92"/>
      <c r="D176" s="82"/>
      <c r="E176" s="82"/>
      <c r="F176" s="96"/>
    </row>
    <row r="177" spans="1:6" ht="13.5">
      <c r="A177" s="86"/>
      <c r="B177" s="91"/>
      <c r="C177" s="92"/>
      <c r="D177" s="82"/>
      <c r="E177" s="82"/>
      <c r="F177" s="96"/>
    </row>
    <row r="178" spans="1:6" ht="13.5">
      <c r="A178" s="86"/>
      <c r="B178" s="91"/>
      <c r="C178" s="92"/>
      <c r="D178" s="82"/>
      <c r="E178" s="82"/>
      <c r="F178" s="96"/>
    </row>
    <row r="179" spans="1:6" ht="13.5">
      <c r="A179" s="86"/>
      <c r="B179" s="91"/>
      <c r="C179" s="92"/>
      <c r="D179" s="82"/>
      <c r="E179" s="82"/>
      <c r="F179" s="96"/>
    </row>
    <row r="180" spans="1:6" ht="13.5">
      <c r="A180" s="86"/>
      <c r="B180" s="91"/>
      <c r="C180" s="92"/>
      <c r="D180" s="82"/>
      <c r="E180" s="82"/>
      <c r="F180" s="96"/>
    </row>
    <row r="181" spans="1:6" ht="13.5">
      <c r="A181" s="86"/>
      <c r="B181" s="91"/>
      <c r="C181" s="92"/>
      <c r="D181" s="82"/>
      <c r="E181" s="82"/>
      <c r="F181" s="96"/>
    </row>
    <row r="182" spans="1:6" ht="13.5">
      <c r="A182" s="86"/>
      <c r="B182" s="91"/>
      <c r="C182" s="92"/>
      <c r="D182" s="82"/>
      <c r="E182" s="82"/>
      <c r="F182" s="96"/>
    </row>
    <row r="183" spans="1:6" ht="13.5">
      <c r="A183" s="86"/>
      <c r="B183" s="91"/>
      <c r="C183" s="92"/>
      <c r="D183" s="82"/>
      <c r="E183" s="82"/>
      <c r="F183" s="96"/>
    </row>
    <row r="184" spans="1:6" ht="13.5">
      <c r="A184" s="86"/>
      <c r="B184" s="91"/>
      <c r="C184" s="92"/>
      <c r="D184" s="82"/>
      <c r="E184" s="82"/>
      <c r="F184" s="96"/>
    </row>
    <row r="185" spans="1:6" ht="13.5">
      <c r="A185" s="86"/>
      <c r="B185" s="91"/>
      <c r="C185" s="92"/>
      <c r="D185" s="82"/>
      <c r="E185" s="82"/>
      <c r="F185" s="96"/>
    </row>
    <row r="186" spans="1:6" ht="13.5">
      <c r="A186" s="86"/>
      <c r="B186" s="91"/>
      <c r="C186" s="92"/>
      <c r="D186" s="82"/>
      <c r="E186" s="82"/>
      <c r="F186" s="96"/>
    </row>
    <row r="187" spans="1:6" ht="13.5">
      <c r="A187" s="86"/>
      <c r="B187" s="91"/>
      <c r="C187" s="92"/>
      <c r="D187" s="82"/>
      <c r="E187" s="82"/>
      <c r="F187" s="96"/>
    </row>
    <row r="188" spans="1:6" ht="13.5">
      <c r="A188" s="86"/>
      <c r="B188" s="91"/>
      <c r="C188" s="92"/>
      <c r="D188" s="82"/>
      <c r="E188" s="82"/>
      <c r="F188" s="96"/>
    </row>
    <row r="189" spans="1:6" ht="13.5">
      <c r="A189" s="86"/>
      <c r="B189" s="91"/>
      <c r="C189" s="92"/>
      <c r="D189" s="82"/>
      <c r="E189" s="82"/>
      <c r="F189" s="96"/>
    </row>
    <row r="190" spans="1:6" ht="13.5">
      <c r="A190" s="86"/>
      <c r="B190" s="91"/>
      <c r="C190" s="92"/>
      <c r="D190" s="82"/>
      <c r="E190" s="82"/>
      <c r="F190" s="96"/>
    </row>
    <row r="191" spans="1:6" ht="13.5">
      <c r="A191" s="86"/>
      <c r="B191" s="91"/>
      <c r="C191" s="92"/>
      <c r="D191" s="82"/>
      <c r="E191" s="82"/>
      <c r="F191" s="96"/>
    </row>
    <row r="192" spans="1:6" ht="13.5">
      <c r="A192" s="86"/>
      <c r="B192" s="91"/>
      <c r="C192" s="92"/>
      <c r="D192" s="82"/>
      <c r="E192" s="82"/>
      <c r="F192" s="96"/>
    </row>
    <row r="193" spans="1:6" ht="13.5">
      <c r="A193" s="86"/>
      <c r="B193" s="91"/>
      <c r="C193" s="92"/>
      <c r="D193" s="82"/>
      <c r="E193" s="82"/>
      <c r="F193" s="96"/>
    </row>
    <row r="194" spans="1:6" ht="13.5">
      <c r="A194" s="86"/>
      <c r="B194" s="91"/>
      <c r="C194" s="92"/>
      <c r="D194" s="82"/>
      <c r="E194" s="82"/>
      <c r="F194" s="96"/>
    </row>
    <row r="195" spans="1:6" ht="13.5">
      <c r="A195" s="86"/>
      <c r="B195" s="91"/>
      <c r="C195" s="92"/>
      <c r="D195" s="82"/>
      <c r="E195" s="82"/>
      <c r="F195" s="96"/>
    </row>
    <row r="196" spans="1:6" ht="13.5">
      <c r="A196" s="86"/>
      <c r="B196" s="91"/>
      <c r="C196" s="92"/>
      <c r="D196" s="82"/>
      <c r="E196" s="82"/>
      <c r="F196" s="96"/>
    </row>
    <row r="197" spans="1:6" ht="13.5">
      <c r="A197" s="86"/>
      <c r="B197" s="91"/>
      <c r="C197" s="92"/>
      <c r="D197" s="82"/>
      <c r="E197" s="82"/>
      <c r="F197" s="96"/>
    </row>
    <row r="198" spans="1:6" ht="13.5">
      <c r="A198" s="86"/>
      <c r="B198" s="91"/>
      <c r="C198" s="92"/>
      <c r="D198" s="82"/>
      <c r="E198" s="82"/>
      <c r="F198" s="96"/>
    </row>
    <row r="199" spans="1:6" ht="13.5">
      <c r="A199" s="86"/>
      <c r="B199" s="91"/>
      <c r="C199" s="92"/>
      <c r="D199" s="82"/>
      <c r="E199" s="82"/>
      <c r="F199" s="96"/>
    </row>
    <row r="200" spans="1:6" ht="13.5">
      <c r="A200" s="86"/>
      <c r="B200" s="91"/>
      <c r="C200" s="92"/>
      <c r="D200" s="82"/>
      <c r="E200" s="82"/>
      <c r="F200" s="96"/>
    </row>
    <row r="201" spans="1:6" ht="13.5">
      <c r="A201" s="86"/>
      <c r="B201" s="91"/>
      <c r="C201" s="92"/>
      <c r="D201" s="82"/>
      <c r="E201" s="82"/>
      <c r="F201" s="96"/>
    </row>
    <row r="202" spans="1:6" ht="13.5">
      <c r="A202" s="86"/>
      <c r="B202" s="91"/>
      <c r="C202" s="92"/>
      <c r="D202" s="82"/>
      <c r="E202" s="82"/>
      <c r="F202" s="96"/>
    </row>
    <row r="203" spans="1:6" ht="13.5">
      <c r="A203" s="86"/>
      <c r="B203" s="91"/>
      <c r="C203" s="92"/>
      <c r="D203" s="82"/>
      <c r="E203" s="82"/>
      <c r="F203" s="96"/>
    </row>
    <row r="204" spans="1:6" ht="13.5">
      <c r="A204" s="86"/>
      <c r="B204" s="91"/>
      <c r="C204" s="92"/>
      <c r="D204" s="82"/>
      <c r="E204" s="82"/>
      <c r="F204" s="96"/>
    </row>
    <row r="205" spans="1:6" ht="13.5">
      <c r="A205" s="86"/>
      <c r="B205" s="91"/>
      <c r="C205" s="92"/>
      <c r="D205" s="82"/>
      <c r="E205" s="82"/>
      <c r="F205" s="96"/>
    </row>
    <row r="206" spans="1:6" ht="13.5">
      <c r="A206" s="86"/>
      <c r="B206" s="91"/>
      <c r="C206" s="92"/>
      <c r="D206" s="82"/>
      <c r="E206" s="82"/>
      <c r="F206" s="96"/>
    </row>
    <row r="207" spans="1:6" ht="13.5">
      <c r="A207" s="86"/>
      <c r="B207" s="91"/>
      <c r="C207" s="92"/>
      <c r="D207" s="82"/>
      <c r="E207" s="82"/>
      <c r="F207" s="96"/>
    </row>
    <row r="208" spans="1:6" ht="13.5">
      <c r="A208" s="86"/>
      <c r="B208" s="91"/>
      <c r="C208" s="92"/>
      <c r="D208" s="82"/>
      <c r="E208" s="82"/>
      <c r="F208" s="96"/>
    </row>
    <row r="209" spans="1:6" ht="13.5">
      <c r="A209" s="86"/>
      <c r="B209" s="91"/>
      <c r="C209" s="92"/>
      <c r="D209" s="82"/>
      <c r="E209" s="82"/>
      <c r="F209" s="96"/>
    </row>
    <row r="210" spans="1:6" ht="13.5">
      <c r="A210" s="86"/>
      <c r="B210" s="91"/>
      <c r="C210" s="92"/>
      <c r="D210" s="82"/>
      <c r="E210" s="82"/>
      <c r="F210" s="96"/>
    </row>
    <row r="211" spans="1:6" ht="13.5">
      <c r="A211" s="86"/>
      <c r="B211" s="91"/>
      <c r="C211" s="92"/>
      <c r="D211" s="82"/>
      <c r="E211" s="82"/>
      <c r="F211" s="96"/>
    </row>
    <row r="212" spans="1:6" ht="13.5">
      <c r="A212" s="86"/>
      <c r="B212" s="91"/>
      <c r="C212" s="92"/>
      <c r="D212" s="82"/>
      <c r="E212" s="82"/>
      <c r="F212" s="96"/>
    </row>
    <row r="213" spans="1:6" ht="13.5">
      <c r="A213" s="86"/>
      <c r="B213" s="91"/>
      <c r="C213" s="92"/>
      <c r="D213" s="82"/>
      <c r="E213" s="82"/>
      <c r="F213" s="96"/>
    </row>
    <row r="214" spans="1:6" ht="13.5">
      <c r="A214" s="86"/>
      <c r="B214" s="91"/>
      <c r="C214" s="92"/>
      <c r="D214" s="82"/>
      <c r="E214" s="82"/>
      <c r="F214" s="96"/>
    </row>
    <row r="215" spans="1:6" ht="13.5">
      <c r="A215" s="86"/>
      <c r="B215" s="91"/>
      <c r="C215" s="92"/>
      <c r="D215" s="82"/>
      <c r="E215" s="82"/>
      <c r="F215" s="96"/>
    </row>
    <row r="216" spans="1:6" ht="13.5">
      <c r="A216" s="86"/>
      <c r="B216" s="91"/>
      <c r="C216" s="92"/>
      <c r="D216" s="82"/>
      <c r="E216" s="82"/>
      <c r="F216" s="96"/>
    </row>
    <row r="217" spans="1:6" ht="13.5">
      <c r="A217" s="86"/>
      <c r="B217" s="91"/>
      <c r="C217" s="92"/>
      <c r="D217" s="82"/>
      <c r="E217" s="82"/>
      <c r="F217" s="96"/>
    </row>
    <row r="218" spans="1:6" ht="13.5">
      <c r="A218" s="86"/>
      <c r="B218" s="91"/>
      <c r="C218" s="92"/>
      <c r="D218" s="82"/>
      <c r="E218" s="82"/>
      <c r="F218" s="96"/>
    </row>
    <row r="219" spans="1:6" ht="13.5">
      <c r="A219" s="86"/>
      <c r="B219" s="91"/>
      <c r="C219" s="92"/>
      <c r="D219" s="82"/>
      <c r="E219" s="82"/>
      <c r="F219" s="96"/>
    </row>
    <row r="220" spans="1:6" ht="13.5">
      <c r="A220" s="86"/>
      <c r="B220" s="91"/>
      <c r="C220" s="92"/>
      <c r="D220" s="82"/>
      <c r="E220" s="82"/>
      <c r="F220" s="96"/>
    </row>
    <row r="221" spans="1:6" ht="13.5">
      <c r="A221" s="86"/>
      <c r="B221" s="91"/>
      <c r="C221" s="92"/>
      <c r="D221" s="82"/>
      <c r="E221" s="82"/>
      <c r="F221" s="96"/>
    </row>
    <row r="222" spans="1:6" ht="13.5">
      <c r="A222" s="86"/>
      <c r="B222" s="91"/>
      <c r="C222" s="92"/>
      <c r="D222" s="82"/>
      <c r="E222" s="82"/>
      <c r="F222" s="96"/>
    </row>
    <row r="223" spans="1:6" ht="13.5">
      <c r="A223" s="86"/>
      <c r="B223" s="91"/>
      <c r="C223" s="92"/>
      <c r="D223" s="82"/>
      <c r="E223" s="82"/>
      <c r="F223" s="96"/>
    </row>
    <row r="224" spans="1:6" ht="13.5">
      <c r="A224" s="86"/>
      <c r="B224" s="91"/>
      <c r="C224" s="92"/>
      <c r="D224" s="82"/>
      <c r="E224" s="82"/>
      <c r="F224" s="96"/>
    </row>
    <row r="225" spans="1:6" ht="13.5">
      <c r="A225" s="86"/>
      <c r="B225" s="91"/>
      <c r="C225" s="92"/>
      <c r="D225" s="82"/>
      <c r="E225" s="82"/>
      <c r="F225" s="96"/>
    </row>
    <row r="226" spans="1:6" ht="13.5">
      <c r="A226" s="86"/>
      <c r="B226" s="91"/>
      <c r="C226" s="92"/>
      <c r="D226" s="82"/>
      <c r="E226" s="82"/>
      <c r="F226" s="96"/>
    </row>
    <row r="227" spans="1:6" ht="13.5">
      <c r="A227" s="86"/>
      <c r="B227" s="91"/>
      <c r="C227" s="92"/>
      <c r="D227" s="82"/>
      <c r="E227" s="82"/>
      <c r="F227" s="96"/>
    </row>
    <row r="228" spans="1:6" ht="13.5">
      <c r="A228" s="86"/>
      <c r="B228" s="91"/>
      <c r="C228" s="92"/>
      <c r="D228" s="82"/>
      <c r="E228" s="82"/>
      <c r="F228" s="96"/>
    </row>
    <row r="229" spans="1:6" ht="13.5">
      <c r="A229" s="86"/>
      <c r="B229" s="91"/>
      <c r="C229" s="92"/>
      <c r="D229" s="82"/>
      <c r="E229" s="82"/>
      <c r="F229" s="96"/>
    </row>
    <row r="230" spans="1:6" ht="13.5">
      <c r="A230" s="86"/>
      <c r="B230" s="91"/>
      <c r="C230" s="92"/>
      <c r="D230" s="82"/>
      <c r="E230" s="82"/>
      <c r="F230" s="96"/>
    </row>
    <row r="231" spans="1:6" ht="13.5">
      <c r="A231" s="86"/>
      <c r="B231" s="91"/>
      <c r="C231" s="92"/>
      <c r="D231" s="82"/>
      <c r="E231" s="82"/>
      <c r="F231" s="96"/>
    </row>
    <row r="232" spans="1:6" ht="13.5">
      <c r="A232" s="86"/>
      <c r="B232" s="91"/>
      <c r="C232" s="92"/>
      <c r="D232" s="82"/>
      <c r="E232" s="82"/>
      <c r="F232" s="96"/>
    </row>
    <row r="233" spans="1:6" ht="13.5">
      <c r="A233" s="86"/>
      <c r="B233" s="91"/>
      <c r="C233" s="92"/>
      <c r="D233" s="82"/>
      <c r="E233" s="82"/>
      <c r="F233" s="96"/>
    </row>
    <row r="234" spans="1:6" ht="13.5">
      <c r="A234" s="86"/>
      <c r="B234" s="91"/>
      <c r="C234" s="92"/>
      <c r="D234" s="82"/>
      <c r="E234" s="82"/>
      <c r="F234" s="96"/>
    </row>
    <row r="235" spans="1:6" ht="13.5">
      <c r="A235" s="86"/>
      <c r="B235" s="91"/>
      <c r="C235" s="92"/>
      <c r="D235" s="82"/>
      <c r="E235" s="82"/>
      <c r="F235" s="96"/>
    </row>
    <row r="236" spans="1:6" ht="13.5">
      <c r="A236" s="86"/>
      <c r="B236" s="91"/>
      <c r="C236" s="92"/>
      <c r="D236" s="82"/>
      <c r="E236" s="82"/>
      <c r="F236" s="96"/>
    </row>
    <row r="237" spans="1:6" ht="13.5">
      <c r="A237" s="86"/>
      <c r="B237" s="91"/>
      <c r="C237" s="92"/>
      <c r="D237" s="82"/>
      <c r="E237" s="82"/>
      <c r="F237" s="96"/>
    </row>
    <row r="238" spans="1:6" ht="13.5">
      <c r="A238" s="86"/>
      <c r="B238" s="91"/>
      <c r="C238" s="92"/>
      <c r="D238" s="82"/>
      <c r="E238" s="82"/>
      <c r="F238" s="96"/>
    </row>
    <row r="239" spans="1:6" ht="13.5">
      <c r="A239" s="86"/>
      <c r="B239" s="91"/>
      <c r="C239" s="92"/>
      <c r="D239" s="82"/>
      <c r="E239" s="82"/>
      <c r="F239" s="96"/>
    </row>
    <row r="240" spans="1:6" ht="13.5">
      <c r="A240" s="86"/>
      <c r="B240" s="91"/>
      <c r="C240" s="92"/>
      <c r="D240" s="82"/>
      <c r="E240" s="82"/>
      <c r="F240" s="96"/>
    </row>
    <row r="241" spans="1:6" ht="13.5">
      <c r="A241" s="86"/>
      <c r="B241" s="91"/>
      <c r="C241" s="92"/>
      <c r="D241" s="82"/>
      <c r="E241" s="82"/>
      <c r="F241" s="96"/>
    </row>
    <row r="242" spans="1:6" ht="13.5">
      <c r="A242" s="86"/>
      <c r="B242" s="91"/>
      <c r="C242" s="92"/>
      <c r="D242" s="82"/>
      <c r="E242" s="82"/>
      <c r="F242" s="96"/>
    </row>
    <row r="243" spans="1:6" ht="13.5">
      <c r="A243" s="86"/>
      <c r="B243" s="91"/>
      <c r="C243" s="92"/>
      <c r="D243" s="82"/>
      <c r="E243" s="82"/>
      <c r="F243" s="96"/>
    </row>
    <row r="244" spans="1:6" ht="13.5">
      <c r="A244" s="86"/>
      <c r="B244" s="91"/>
      <c r="C244" s="92"/>
      <c r="D244" s="82"/>
      <c r="E244" s="82"/>
      <c r="F244" s="96"/>
    </row>
    <row r="245" spans="1:6" ht="13.5">
      <c r="A245" s="86"/>
      <c r="B245" s="91"/>
      <c r="C245" s="92"/>
      <c r="D245" s="82"/>
      <c r="E245" s="82"/>
      <c r="F245" s="96"/>
    </row>
    <row r="246" spans="1:6" ht="13.5">
      <c r="A246" s="86"/>
      <c r="B246" s="91"/>
      <c r="C246" s="92"/>
      <c r="D246" s="82"/>
      <c r="E246" s="82"/>
      <c r="F246" s="96"/>
    </row>
    <row r="247" spans="1:6" ht="13.5">
      <c r="A247" s="86"/>
      <c r="B247" s="91"/>
      <c r="C247" s="92"/>
      <c r="D247" s="82"/>
      <c r="E247" s="82"/>
      <c r="F247" s="96"/>
    </row>
    <row r="248" spans="1:6" ht="13.5">
      <c r="A248" s="86"/>
      <c r="B248" s="91"/>
      <c r="C248" s="92"/>
      <c r="D248" s="82"/>
      <c r="E248" s="82"/>
      <c r="F248" s="96"/>
    </row>
    <row r="249" spans="1:6" ht="13.5">
      <c r="A249" s="86"/>
      <c r="B249" s="91"/>
      <c r="C249" s="92"/>
      <c r="D249" s="82"/>
      <c r="E249" s="82"/>
      <c r="F249" s="96"/>
    </row>
    <row r="250" spans="1:6" ht="13.5">
      <c r="A250" s="86"/>
      <c r="B250" s="91"/>
      <c r="C250" s="92"/>
      <c r="D250" s="82"/>
      <c r="E250" s="82"/>
      <c r="F250" s="96"/>
    </row>
    <row r="251" spans="1:6" ht="13.5">
      <c r="A251" s="86"/>
      <c r="B251" s="91"/>
      <c r="C251" s="92"/>
      <c r="D251" s="82"/>
      <c r="E251" s="82"/>
      <c r="F251" s="96"/>
    </row>
    <row r="252" spans="1:6" ht="13.5">
      <c r="A252" s="86"/>
      <c r="B252" s="91"/>
      <c r="C252" s="92"/>
      <c r="D252" s="82"/>
      <c r="E252" s="82"/>
      <c r="F252" s="96"/>
    </row>
    <row r="253" spans="1:6" ht="13.5">
      <c r="A253" s="86"/>
      <c r="B253" s="91"/>
      <c r="C253" s="92"/>
      <c r="D253" s="82"/>
      <c r="E253" s="82"/>
      <c r="F253" s="96"/>
    </row>
    <row r="254" spans="1:6" ht="13.5">
      <c r="A254" s="86"/>
      <c r="B254" s="91"/>
      <c r="C254" s="92"/>
      <c r="D254" s="82"/>
      <c r="E254" s="82"/>
      <c r="F254" s="96"/>
    </row>
    <row r="255" spans="1:6" ht="13.5">
      <c r="A255" s="86"/>
      <c r="B255" s="91"/>
      <c r="C255" s="92"/>
      <c r="D255" s="82"/>
      <c r="E255" s="82"/>
      <c r="F255" s="96"/>
    </row>
    <row r="256" spans="1:6" ht="13.5">
      <c r="A256" s="86"/>
      <c r="B256" s="91"/>
      <c r="C256" s="92"/>
      <c r="D256" s="82"/>
      <c r="E256" s="82"/>
      <c r="F256" s="96"/>
    </row>
    <row r="257" spans="1:6" ht="13.5">
      <c r="A257" s="86"/>
      <c r="B257" s="91"/>
      <c r="C257" s="92"/>
      <c r="D257" s="82"/>
      <c r="E257" s="82"/>
      <c r="F257" s="96"/>
    </row>
    <row r="258" spans="1:6" ht="13.5">
      <c r="A258" s="86"/>
      <c r="B258" s="91"/>
      <c r="C258" s="92"/>
      <c r="D258" s="82"/>
      <c r="E258" s="82"/>
      <c r="F258" s="96"/>
    </row>
    <row r="259" spans="1:6" ht="13.5">
      <c r="A259" s="86"/>
      <c r="B259" s="91"/>
      <c r="C259" s="92"/>
      <c r="D259" s="82"/>
      <c r="E259" s="82"/>
      <c r="F259" s="96"/>
    </row>
    <row r="260" spans="1:6" ht="13.5">
      <c r="A260" s="86"/>
      <c r="B260" s="91"/>
      <c r="C260" s="92"/>
      <c r="D260" s="82"/>
      <c r="E260" s="82"/>
      <c r="F260" s="96"/>
    </row>
    <row r="261" spans="1:6" ht="13.5">
      <c r="A261" s="86"/>
      <c r="B261" s="91"/>
      <c r="C261" s="92"/>
      <c r="D261" s="82"/>
      <c r="E261" s="82"/>
      <c r="F261" s="96"/>
    </row>
    <row r="262" spans="1:6" ht="13.5">
      <c r="A262" s="86"/>
      <c r="B262" s="91"/>
      <c r="C262" s="92"/>
      <c r="D262" s="82"/>
      <c r="E262" s="82"/>
      <c r="F262" s="96"/>
    </row>
    <row r="263" spans="1:6" ht="13.5">
      <c r="A263" s="86"/>
      <c r="B263" s="91"/>
      <c r="C263" s="92"/>
      <c r="D263" s="82"/>
      <c r="E263" s="82"/>
      <c r="F263" s="96"/>
    </row>
    <row r="264" spans="1:6" ht="13.5">
      <c r="A264" s="86"/>
      <c r="B264" s="91"/>
      <c r="C264" s="92"/>
      <c r="D264" s="82"/>
      <c r="E264" s="82"/>
      <c r="F264" s="96"/>
    </row>
    <row r="265" spans="1:6" ht="13.5">
      <c r="A265" s="86"/>
      <c r="B265" s="91"/>
      <c r="C265" s="92"/>
      <c r="D265" s="82"/>
      <c r="E265" s="82"/>
      <c r="F265" s="96"/>
    </row>
    <row r="266" spans="1:6" ht="13.5">
      <c r="A266" s="86"/>
      <c r="B266" s="91"/>
      <c r="C266" s="92"/>
      <c r="D266" s="82"/>
      <c r="E266" s="82"/>
      <c r="F266" s="96"/>
    </row>
    <row r="267" spans="1:6" ht="13.5">
      <c r="A267" s="86"/>
      <c r="B267" s="91"/>
      <c r="C267" s="92"/>
      <c r="D267" s="82"/>
      <c r="E267" s="82"/>
      <c r="F267" s="96"/>
    </row>
    <row r="268" spans="1:6" ht="13.5">
      <c r="A268" s="86"/>
      <c r="B268" s="91"/>
      <c r="C268" s="92"/>
      <c r="D268" s="82"/>
      <c r="E268" s="82"/>
      <c r="F268" s="96"/>
    </row>
    <row r="269" spans="1:6" ht="13.5">
      <c r="A269" s="86"/>
      <c r="B269" s="91"/>
      <c r="C269" s="92"/>
      <c r="D269" s="82"/>
      <c r="E269" s="82"/>
      <c r="F269" s="96"/>
    </row>
    <row r="270" spans="1:6" ht="13.5">
      <c r="A270" s="86"/>
      <c r="B270" s="91"/>
      <c r="C270" s="92"/>
      <c r="D270" s="82"/>
      <c r="E270" s="82"/>
      <c r="F270" s="96"/>
    </row>
    <row r="271" spans="1:6" ht="13.5">
      <c r="A271" s="86"/>
      <c r="B271" s="91"/>
      <c r="C271" s="92"/>
      <c r="D271" s="82"/>
      <c r="E271" s="82"/>
      <c r="F271" s="96"/>
    </row>
    <row r="272" spans="1:6" ht="13.5">
      <c r="A272" s="86"/>
      <c r="B272" s="91"/>
      <c r="C272" s="92"/>
      <c r="D272" s="82"/>
      <c r="E272" s="82"/>
      <c r="F272" s="96"/>
    </row>
    <row r="273" spans="1:6" ht="13.5">
      <c r="A273" s="86"/>
      <c r="B273" s="91"/>
      <c r="C273" s="92"/>
      <c r="D273" s="82"/>
      <c r="E273" s="82"/>
      <c r="F273" s="96"/>
    </row>
    <row r="274" spans="1:6" ht="13.5">
      <c r="A274" s="86"/>
      <c r="B274" s="91"/>
      <c r="C274" s="92"/>
      <c r="D274" s="82"/>
      <c r="E274" s="82"/>
      <c r="F274" s="96"/>
    </row>
    <row r="275" spans="1:6" ht="13.5">
      <c r="A275" s="86"/>
      <c r="B275" s="91"/>
      <c r="C275" s="92"/>
      <c r="D275" s="82"/>
      <c r="E275" s="82"/>
      <c r="F275" s="96"/>
    </row>
    <row r="276" spans="1:6" ht="13.5">
      <c r="A276" s="86"/>
      <c r="B276" s="91"/>
      <c r="C276" s="92"/>
      <c r="D276" s="82"/>
      <c r="E276" s="82"/>
      <c r="F276" s="96"/>
    </row>
    <row r="277" spans="1:6" ht="13.5">
      <c r="A277" s="86"/>
      <c r="B277" s="91"/>
      <c r="C277" s="92"/>
      <c r="D277" s="82"/>
      <c r="E277" s="82"/>
      <c r="F277" s="96"/>
    </row>
    <row r="278" spans="1:6" ht="13.5">
      <c r="A278" s="86"/>
      <c r="B278" s="91"/>
      <c r="C278" s="92"/>
      <c r="D278" s="82"/>
      <c r="E278" s="82"/>
      <c r="F278" s="96"/>
    </row>
    <row r="279" spans="1:6" ht="13.5">
      <c r="A279" s="86"/>
      <c r="B279" s="91"/>
      <c r="C279" s="92"/>
      <c r="D279" s="82"/>
      <c r="E279" s="82"/>
      <c r="F279" s="96"/>
    </row>
    <row r="280" spans="1:6" ht="13.5">
      <c r="A280" s="86"/>
      <c r="B280" s="91"/>
      <c r="C280" s="92"/>
      <c r="D280" s="82"/>
      <c r="E280" s="82"/>
      <c r="F280" s="96"/>
    </row>
    <row r="281" spans="1:6" ht="13.5">
      <c r="A281" s="86"/>
      <c r="B281" s="91"/>
      <c r="C281" s="92"/>
      <c r="D281" s="82"/>
      <c r="E281" s="82"/>
      <c r="F281" s="96"/>
    </row>
    <row r="282" spans="1:6" ht="13.5">
      <c r="A282" s="86"/>
      <c r="B282" s="91"/>
      <c r="C282" s="92"/>
      <c r="D282" s="82"/>
      <c r="E282" s="82"/>
      <c r="F282" s="96"/>
    </row>
    <row r="283" spans="1:6" ht="13.5">
      <c r="A283" s="86"/>
      <c r="B283" s="91"/>
      <c r="C283" s="92"/>
      <c r="D283" s="82"/>
      <c r="E283" s="82"/>
      <c r="F283" s="96"/>
    </row>
    <row r="284" spans="1:6" ht="13.5">
      <c r="A284" s="86"/>
      <c r="B284" s="91"/>
      <c r="C284" s="92"/>
      <c r="D284" s="82"/>
      <c r="E284" s="82"/>
      <c r="F284" s="96"/>
    </row>
    <row r="285" spans="1:6" ht="13.5">
      <c r="A285" s="86"/>
      <c r="B285" s="91"/>
      <c r="C285" s="92"/>
      <c r="D285" s="82"/>
      <c r="E285" s="82"/>
      <c r="F285" s="96"/>
    </row>
    <row r="286" spans="1:6" ht="13.5">
      <c r="A286" s="86"/>
      <c r="B286" s="91"/>
      <c r="C286" s="92"/>
      <c r="D286" s="82"/>
      <c r="E286" s="82"/>
      <c r="F286" s="96"/>
    </row>
    <row r="287" spans="1:6" ht="13.5">
      <c r="A287" s="86"/>
      <c r="B287" s="91"/>
      <c r="C287" s="92"/>
      <c r="D287" s="82"/>
      <c r="E287" s="82"/>
      <c r="F287" s="96"/>
    </row>
    <row r="288" spans="1:6" ht="13.5">
      <c r="A288" s="86"/>
      <c r="B288" s="91"/>
      <c r="C288" s="92"/>
      <c r="D288" s="82"/>
      <c r="E288" s="82"/>
      <c r="F288" s="96"/>
    </row>
    <row r="289" spans="1:6" ht="13.5">
      <c r="A289" s="86"/>
      <c r="B289" s="91"/>
      <c r="C289" s="92"/>
      <c r="D289" s="82"/>
      <c r="E289" s="82"/>
      <c r="F289" s="96"/>
    </row>
    <row r="290" spans="1:6" ht="13.5">
      <c r="A290" s="86"/>
      <c r="B290" s="91"/>
      <c r="C290" s="92"/>
      <c r="D290" s="82"/>
      <c r="E290" s="82"/>
      <c r="F290" s="96"/>
    </row>
    <row r="291" spans="1:6" ht="13.5">
      <c r="A291" s="86"/>
      <c r="B291" s="91"/>
      <c r="C291" s="92"/>
      <c r="D291" s="82"/>
      <c r="E291" s="82"/>
      <c r="F291" s="96"/>
    </row>
    <row r="292" spans="1:6" ht="13.5">
      <c r="A292" s="86"/>
      <c r="B292" s="91"/>
      <c r="C292" s="92"/>
      <c r="D292" s="82"/>
      <c r="E292" s="82"/>
      <c r="F292" s="96"/>
    </row>
    <row r="293" spans="1:6" ht="13.5">
      <c r="A293" s="86"/>
      <c r="B293" s="91"/>
      <c r="C293" s="92"/>
      <c r="D293" s="82"/>
      <c r="E293" s="82"/>
      <c r="F293" s="96"/>
    </row>
    <row r="294" spans="1:6" ht="13.5">
      <c r="A294" s="86"/>
      <c r="B294" s="91"/>
      <c r="C294" s="92"/>
      <c r="D294" s="82"/>
      <c r="E294" s="82"/>
      <c r="F294" s="96"/>
    </row>
    <row r="295" spans="1:6" ht="13.5">
      <c r="A295" s="86"/>
      <c r="B295" s="91"/>
      <c r="C295" s="92"/>
      <c r="D295" s="82"/>
      <c r="E295" s="82"/>
      <c r="F295" s="96"/>
    </row>
    <row r="296" spans="1:6" ht="13.5">
      <c r="A296" s="86"/>
      <c r="B296" s="91"/>
      <c r="C296" s="92"/>
      <c r="D296" s="82"/>
      <c r="E296" s="82"/>
      <c r="F296" s="96"/>
    </row>
    <row r="297" spans="1:6" ht="13.5">
      <c r="A297" s="86"/>
      <c r="B297" s="91"/>
      <c r="C297" s="92"/>
      <c r="D297" s="82"/>
      <c r="E297" s="82"/>
      <c r="F297" s="96"/>
    </row>
    <row r="298" spans="1:6" ht="13.5">
      <c r="A298" s="86"/>
      <c r="B298" s="91"/>
      <c r="C298" s="92"/>
      <c r="D298" s="82"/>
      <c r="E298" s="82"/>
      <c r="F298" s="96"/>
    </row>
    <row r="299" spans="1:6" ht="13.5">
      <c r="A299" s="86"/>
      <c r="B299" s="91"/>
      <c r="C299" s="92"/>
      <c r="D299" s="82"/>
      <c r="E299" s="82"/>
      <c r="F299" s="96"/>
    </row>
    <row r="300" spans="1:6" ht="13.5">
      <c r="A300" s="86"/>
      <c r="B300" s="91"/>
      <c r="C300" s="92"/>
      <c r="D300" s="82"/>
      <c r="E300" s="82"/>
      <c r="F300" s="96"/>
    </row>
    <row r="301" spans="1:6" ht="13.5">
      <c r="A301" s="86"/>
      <c r="B301" s="91"/>
      <c r="C301" s="92"/>
      <c r="D301" s="82"/>
      <c r="E301" s="82"/>
      <c r="F301" s="96"/>
    </row>
    <row r="302" spans="1:6" ht="13.5">
      <c r="A302" s="86"/>
      <c r="B302" s="91"/>
      <c r="C302" s="92"/>
      <c r="D302" s="82"/>
      <c r="E302" s="82"/>
      <c r="F302" s="96"/>
    </row>
    <row r="303" spans="1:6" ht="13.5">
      <c r="A303" s="86"/>
      <c r="B303" s="91"/>
      <c r="C303" s="92"/>
      <c r="D303" s="82"/>
      <c r="E303" s="82"/>
      <c r="F303" s="96"/>
    </row>
    <row r="304" spans="1:6" ht="13.5">
      <c r="A304" s="86"/>
      <c r="B304" s="91"/>
      <c r="C304" s="92"/>
      <c r="D304" s="82"/>
      <c r="E304" s="82"/>
      <c r="F304" s="96"/>
    </row>
    <row r="305" spans="1:6" ht="13.5">
      <c r="A305" s="86"/>
      <c r="B305" s="91"/>
      <c r="C305" s="92"/>
      <c r="D305" s="82"/>
      <c r="E305" s="82"/>
      <c r="F305" s="96"/>
    </row>
    <row r="306" spans="1:6" ht="13.5">
      <c r="A306" s="86"/>
      <c r="B306" s="91"/>
      <c r="C306" s="92"/>
      <c r="D306" s="82"/>
      <c r="E306" s="82"/>
      <c r="F306" s="96"/>
    </row>
    <row r="307" spans="1:6" ht="13.5">
      <c r="A307" s="86"/>
      <c r="B307" s="91"/>
      <c r="C307" s="92"/>
      <c r="D307" s="82"/>
      <c r="E307" s="82"/>
      <c r="F307" s="96"/>
    </row>
    <row r="308" spans="1:6" ht="13.5">
      <c r="A308" s="86"/>
      <c r="B308" s="91"/>
      <c r="C308" s="92"/>
      <c r="D308" s="82"/>
      <c r="E308" s="82"/>
      <c r="F308" s="96"/>
    </row>
    <row r="309" spans="1:6" ht="13.5">
      <c r="A309" s="86"/>
      <c r="B309" s="91"/>
      <c r="C309" s="92"/>
      <c r="D309" s="82"/>
      <c r="E309" s="82"/>
      <c r="F309" s="96"/>
    </row>
    <row r="310" spans="1:6" ht="13.5">
      <c r="A310" s="86"/>
      <c r="B310" s="91"/>
      <c r="C310" s="92"/>
      <c r="D310" s="82"/>
      <c r="E310" s="82"/>
      <c r="F310" s="96"/>
    </row>
    <row r="311" spans="1:6" ht="13.5">
      <c r="A311" s="86"/>
      <c r="B311" s="91"/>
      <c r="C311" s="92"/>
      <c r="D311" s="82"/>
      <c r="E311" s="82"/>
      <c r="F311" s="96"/>
    </row>
    <row r="312" spans="1:6" ht="13.5">
      <c r="A312" s="86"/>
      <c r="B312" s="91"/>
      <c r="C312" s="92"/>
      <c r="D312" s="82"/>
      <c r="E312" s="82"/>
      <c r="F312" s="96"/>
    </row>
    <row r="313" spans="1:6" ht="13.5">
      <c r="A313" s="86"/>
      <c r="B313" s="91"/>
      <c r="C313" s="92"/>
      <c r="D313" s="82"/>
      <c r="E313" s="82"/>
      <c r="F313" s="96"/>
    </row>
    <row r="314" spans="1:6" ht="13.5">
      <c r="A314" s="86"/>
      <c r="B314" s="91"/>
      <c r="C314" s="92"/>
      <c r="D314" s="82"/>
      <c r="E314" s="82"/>
      <c r="F314" s="96"/>
    </row>
    <row r="315" spans="1:6" ht="13.5">
      <c r="A315" s="86"/>
      <c r="B315" s="91"/>
      <c r="C315" s="92"/>
      <c r="D315" s="82"/>
      <c r="E315" s="82"/>
      <c r="F315" s="96"/>
    </row>
    <row r="316" spans="1:6" ht="13.5">
      <c r="A316" s="86"/>
      <c r="B316" s="91"/>
      <c r="C316" s="92"/>
      <c r="D316" s="82"/>
      <c r="E316" s="82"/>
      <c r="F316" s="96"/>
    </row>
    <row r="317" spans="1:6" ht="13.5">
      <c r="A317" s="86"/>
      <c r="B317" s="91"/>
      <c r="C317" s="92"/>
      <c r="D317" s="82"/>
      <c r="E317" s="82"/>
      <c r="F317" s="96"/>
    </row>
    <row r="318" spans="1:6" ht="13.5">
      <c r="A318" s="86"/>
      <c r="B318" s="91"/>
      <c r="C318" s="92"/>
      <c r="D318" s="82"/>
      <c r="E318" s="82"/>
      <c r="F318" s="96"/>
    </row>
    <row r="319" spans="1:6" ht="13.5">
      <c r="A319" s="86"/>
      <c r="B319" s="91"/>
      <c r="C319" s="92"/>
      <c r="D319" s="82"/>
      <c r="E319" s="82"/>
      <c r="F319" s="96"/>
    </row>
    <row r="320" spans="1:6" ht="13.5">
      <c r="A320" s="86"/>
      <c r="B320" s="91"/>
      <c r="C320" s="92"/>
      <c r="D320" s="82"/>
      <c r="E320" s="82"/>
      <c r="F320" s="96"/>
    </row>
    <row r="321" spans="1:6" ht="13.5">
      <c r="A321" s="86"/>
      <c r="B321" s="91"/>
      <c r="C321" s="92"/>
      <c r="D321" s="82"/>
      <c r="E321" s="82"/>
      <c r="F321" s="96"/>
    </row>
    <row r="322" spans="1:6" ht="13.5">
      <c r="A322" s="86"/>
      <c r="B322" s="91"/>
      <c r="C322" s="92"/>
      <c r="D322" s="82"/>
      <c r="E322" s="82"/>
      <c r="F322" s="96"/>
    </row>
    <row r="323" spans="1:6" ht="13.5">
      <c r="A323" s="86"/>
      <c r="B323" s="91"/>
      <c r="C323" s="92"/>
      <c r="D323" s="82"/>
      <c r="E323" s="82"/>
      <c r="F323" s="96"/>
    </row>
    <row r="324" spans="1:6" ht="13.5">
      <c r="A324" s="86"/>
      <c r="B324" s="91"/>
      <c r="C324" s="92"/>
      <c r="D324" s="82"/>
      <c r="E324" s="82"/>
      <c r="F324" s="96"/>
    </row>
    <row r="325" spans="1:6" ht="13.5">
      <c r="A325" s="86"/>
      <c r="B325" s="91"/>
      <c r="C325" s="92"/>
      <c r="D325" s="82"/>
      <c r="E325" s="82"/>
      <c r="F325" s="96"/>
    </row>
    <row r="326" spans="1:6" ht="13.5">
      <c r="A326" s="86"/>
      <c r="B326" s="91"/>
      <c r="C326" s="92"/>
      <c r="D326" s="82"/>
      <c r="E326" s="82"/>
      <c r="F326" s="96"/>
    </row>
    <row r="327" spans="1:6" ht="13.5">
      <c r="A327" s="86"/>
      <c r="B327" s="91"/>
      <c r="C327" s="92"/>
      <c r="D327" s="82"/>
      <c r="E327" s="82"/>
      <c r="F327" s="96"/>
    </row>
    <row r="328" spans="1:6" ht="13.5">
      <c r="A328" s="86"/>
      <c r="B328" s="91"/>
      <c r="C328" s="92"/>
      <c r="D328" s="82"/>
      <c r="E328" s="82"/>
      <c r="F328" s="96"/>
    </row>
    <row r="329" spans="1:6" ht="13.5">
      <c r="A329" s="86"/>
      <c r="B329" s="91"/>
      <c r="C329" s="92"/>
      <c r="D329" s="82"/>
      <c r="E329" s="82"/>
      <c r="F329" s="96"/>
    </row>
    <row r="330" spans="1:6" ht="13.5">
      <c r="A330" s="86"/>
      <c r="B330" s="91"/>
      <c r="C330" s="92"/>
      <c r="D330" s="82"/>
      <c r="E330" s="82"/>
      <c r="F330" s="96"/>
    </row>
    <row r="331" spans="1:6" ht="13.5">
      <c r="A331" s="86"/>
      <c r="B331" s="91"/>
      <c r="C331" s="92"/>
      <c r="D331" s="82"/>
      <c r="E331" s="82"/>
      <c r="F331" s="96"/>
    </row>
    <row r="332" spans="1:6" ht="13.5">
      <c r="A332" s="86"/>
      <c r="B332" s="91"/>
      <c r="C332" s="92"/>
      <c r="D332" s="82"/>
      <c r="E332" s="82"/>
      <c r="F332" s="96"/>
    </row>
    <row r="333" spans="1:6" ht="13.5">
      <c r="A333" s="86"/>
      <c r="B333" s="91"/>
      <c r="C333" s="92"/>
      <c r="D333" s="82"/>
      <c r="E333" s="82"/>
      <c r="F333" s="96"/>
    </row>
    <row r="334" spans="1:6" ht="13.5">
      <c r="A334" s="86"/>
      <c r="B334" s="91"/>
      <c r="C334" s="92"/>
      <c r="D334" s="82"/>
      <c r="E334" s="82"/>
      <c r="F334" s="96"/>
    </row>
    <row r="335" spans="1:6" ht="13.5">
      <c r="A335" s="86"/>
      <c r="B335" s="91"/>
      <c r="C335" s="92"/>
      <c r="D335" s="82"/>
      <c r="E335" s="82"/>
      <c r="F335" s="96"/>
    </row>
    <row r="336" spans="1:6" ht="13.5">
      <c r="A336" s="86"/>
      <c r="B336" s="91"/>
      <c r="C336" s="92"/>
      <c r="D336" s="82"/>
      <c r="E336" s="82"/>
      <c r="F336" s="96"/>
    </row>
    <row r="337" spans="1:6" ht="13.5">
      <c r="A337" s="86"/>
      <c r="B337" s="91"/>
      <c r="C337" s="92"/>
      <c r="D337" s="82"/>
      <c r="E337" s="82"/>
      <c r="F337" s="96"/>
    </row>
    <row r="338" spans="1:6" ht="13.5">
      <c r="A338" s="86"/>
      <c r="B338" s="91"/>
      <c r="C338" s="92"/>
      <c r="D338" s="82"/>
      <c r="E338" s="82"/>
      <c r="F338" s="96"/>
    </row>
    <row r="339" spans="1:6" ht="13.5">
      <c r="A339" s="86"/>
      <c r="B339" s="91"/>
      <c r="C339" s="92"/>
      <c r="D339" s="82"/>
      <c r="E339" s="82"/>
      <c r="F339" s="96"/>
    </row>
    <row r="340" spans="1:6" ht="13.5">
      <c r="A340" s="86"/>
      <c r="B340" s="91"/>
      <c r="C340" s="92"/>
      <c r="D340" s="82"/>
      <c r="E340" s="82"/>
      <c r="F340" s="96"/>
    </row>
    <row r="341" spans="1:6" ht="13.5">
      <c r="A341" s="86"/>
      <c r="B341" s="91"/>
      <c r="C341" s="92"/>
      <c r="D341" s="82"/>
      <c r="E341" s="82"/>
      <c r="F341" s="96"/>
    </row>
    <row r="342" spans="1:6" ht="13.5">
      <c r="A342" s="86"/>
      <c r="B342" s="91"/>
      <c r="C342" s="92"/>
      <c r="D342" s="82"/>
      <c r="E342" s="82"/>
      <c r="F342" s="96"/>
    </row>
    <row r="343" spans="1:6" ht="13.5">
      <c r="A343" s="86"/>
      <c r="B343" s="91"/>
      <c r="C343" s="92"/>
      <c r="D343" s="82"/>
      <c r="E343" s="82"/>
      <c r="F343" s="96"/>
    </row>
    <row r="344" spans="1:6" ht="13.5">
      <c r="A344" s="86"/>
      <c r="B344" s="91"/>
      <c r="C344" s="92"/>
      <c r="D344" s="82"/>
      <c r="E344" s="82"/>
      <c r="F344" s="96"/>
    </row>
    <row r="345" spans="1:6" ht="13.5">
      <c r="A345" s="86"/>
      <c r="B345" s="91"/>
      <c r="C345" s="92"/>
      <c r="D345" s="82"/>
      <c r="E345" s="82"/>
      <c r="F345" s="96"/>
    </row>
    <row r="346" spans="1:6" ht="13.5">
      <c r="A346" s="86"/>
      <c r="B346" s="91"/>
      <c r="C346" s="92"/>
      <c r="D346" s="82"/>
      <c r="E346" s="82"/>
      <c r="F346" s="96"/>
    </row>
    <row r="347" spans="1:6" ht="13.5">
      <c r="A347" s="86"/>
      <c r="B347" s="91"/>
      <c r="C347" s="92"/>
      <c r="D347" s="82"/>
      <c r="E347" s="82"/>
      <c r="F347" s="96"/>
    </row>
    <row r="348" spans="1:6" ht="13.5">
      <c r="A348" s="86"/>
      <c r="B348" s="91"/>
      <c r="C348" s="92"/>
      <c r="D348" s="82"/>
      <c r="E348" s="82"/>
      <c r="F348" s="96"/>
    </row>
    <row r="349" spans="1:6" ht="13.5">
      <c r="A349" s="86"/>
      <c r="B349" s="91"/>
      <c r="C349" s="92"/>
      <c r="D349" s="82"/>
      <c r="E349" s="82"/>
      <c r="F349" s="96"/>
    </row>
    <row r="350" spans="1:6" ht="13.5">
      <c r="A350" s="86"/>
      <c r="B350" s="91"/>
      <c r="C350" s="92"/>
      <c r="D350" s="82"/>
      <c r="E350" s="82"/>
      <c r="F350" s="96"/>
    </row>
    <row r="351" spans="1:6" ht="13.5">
      <c r="A351" s="86"/>
      <c r="B351" s="91"/>
      <c r="C351" s="92"/>
      <c r="D351" s="82"/>
      <c r="E351" s="82"/>
      <c r="F351" s="96"/>
    </row>
    <row r="352" spans="1:6" ht="13.5">
      <c r="A352" s="86"/>
      <c r="B352" s="91"/>
      <c r="C352" s="92"/>
      <c r="D352" s="82"/>
      <c r="E352" s="82"/>
      <c r="F352" s="96"/>
    </row>
    <row r="353" spans="1:6" ht="13.5">
      <c r="A353" s="86"/>
      <c r="B353" s="91"/>
      <c r="C353" s="92"/>
      <c r="D353" s="82"/>
      <c r="E353" s="82"/>
      <c r="F353" s="96"/>
    </row>
    <row r="354" spans="1:6" ht="13.5">
      <c r="A354" s="86"/>
      <c r="B354" s="91"/>
      <c r="C354" s="92"/>
      <c r="D354" s="82"/>
      <c r="E354" s="82"/>
      <c r="F354" s="96"/>
    </row>
    <row r="355" spans="1:6" ht="13.5">
      <c r="A355" s="86"/>
      <c r="B355" s="91"/>
      <c r="C355" s="92"/>
      <c r="D355" s="82"/>
      <c r="E355" s="82"/>
      <c r="F355" s="96"/>
    </row>
    <row r="356" spans="1:6" ht="13.5">
      <c r="A356" s="86"/>
      <c r="B356" s="91"/>
      <c r="C356" s="92"/>
      <c r="D356" s="82"/>
      <c r="E356" s="82"/>
      <c r="F356" s="96"/>
    </row>
    <row r="357" spans="1:6" ht="13.5">
      <c r="A357" s="86"/>
      <c r="B357" s="91"/>
      <c r="C357" s="92"/>
      <c r="D357" s="82"/>
      <c r="E357" s="82"/>
      <c r="F357" s="96"/>
    </row>
    <row r="358" spans="1:6" ht="13.5">
      <c r="A358" s="86"/>
      <c r="B358" s="91"/>
      <c r="C358" s="92"/>
      <c r="D358" s="82"/>
      <c r="E358" s="82"/>
      <c r="F358" s="96"/>
    </row>
    <row r="359" spans="1:6" ht="13.5">
      <c r="A359" s="86"/>
      <c r="B359" s="91"/>
      <c r="C359" s="92"/>
      <c r="D359" s="82"/>
      <c r="E359" s="82"/>
      <c r="F359" s="96"/>
    </row>
    <row r="360" spans="1:6" ht="13.5">
      <c r="A360" s="86"/>
      <c r="B360" s="91"/>
      <c r="C360" s="92"/>
      <c r="D360" s="82"/>
      <c r="E360" s="82"/>
      <c r="F360" s="96"/>
    </row>
    <row r="361" spans="1:6" ht="13.5">
      <c r="A361" s="86"/>
      <c r="B361" s="91"/>
      <c r="C361" s="92"/>
      <c r="D361" s="82"/>
      <c r="E361" s="82"/>
      <c r="F361" s="96"/>
    </row>
    <row r="362" spans="1:6" ht="13.5">
      <c r="A362" s="86"/>
      <c r="B362" s="91"/>
      <c r="C362" s="92"/>
      <c r="D362" s="82"/>
      <c r="E362" s="82"/>
      <c r="F362" s="96"/>
    </row>
    <row r="363" spans="1:6" ht="13.5">
      <c r="A363" s="86"/>
      <c r="B363" s="91"/>
      <c r="C363" s="92"/>
      <c r="D363" s="82"/>
      <c r="E363" s="82"/>
      <c r="F363" s="96"/>
    </row>
    <row r="364" spans="1:6" ht="13.5">
      <c r="A364" s="86"/>
      <c r="B364" s="91"/>
      <c r="C364" s="92"/>
      <c r="D364" s="82"/>
      <c r="E364" s="82"/>
      <c r="F364" s="96"/>
    </row>
    <row r="365" spans="1:6" ht="13.5">
      <c r="A365" s="86"/>
      <c r="B365" s="91"/>
      <c r="C365" s="92"/>
      <c r="D365" s="82"/>
      <c r="E365" s="82"/>
      <c r="F365" s="96"/>
    </row>
    <row r="366" spans="1:6" ht="13.5">
      <c r="A366" s="86"/>
      <c r="B366" s="91"/>
      <c r="C366" s="92"/>
      <c r="D366" s="82"/>
      <c r="E366" s="82"/>
      <c r="F366" s="96"/>
    </row>
    <row r="367" spans="1:6" ht="13.5">
      <c r="A367" s="86"/>
      <c r="B367" s="91"/>
      <c r="C367" s="92"/>
      <c r="D367" s="82"/>
      <c r="E367" s="82"/>
      <c r="F367" s="96"/>
    </row>
    <row r="368" spans="1:6" ht="13.5">
      <c r="A368" s="86"/>
      <c r="B368" s="91"/>
      <c r="C368" s="92"/>
      <c r="D368" s="82"/>
      <c r="E368" s="82"/>
      <c r="F368" s="96"/>
    </row>
    <row r="369" spans="1:6" ht="13.5">
      <c r="A369" s="86"/>
      <c r="B369" s="91"/>
      <c r="C369" s="92"/>
      <c r="D369" s="82"/>
      <c r="E369" s="82"/>
      <c r="F369" s="96"/>
    </row>
    <row r="370" spans="1:6" ht="13.5">
      <c r="A370" s="86"/>
      <c r="B370" s="91"/>
      <c r="C370" s="92"/>
      <c r="D370" s="82"/>
      <c r="E370" s="82"/>
      <c r="F370" s="96"/>
    </row>
    <row r="371" spans="1:6" ht="13.5">
      <c r="A371" s="86"/>
      <c r="B371" s="91"/>
      <c r="C371" s="92"/>
      <c r="D371" s="82"/>
      <c r="E371" s="82"/>
      <c r="F371" s="96"/>
    </row>
    <row r="372" spans="1:6" ht="13.5">
      <c r="A372" s="86"/>
      <c r="B372" s="91"/>
      <c r="C372" s="92"/>
      <c r="D372" s="82"/>
      <c r="E372" s="82"/>
      <c r="F372" s="96"/>
    </row>
    <row r="373" spans="1:6" ht="13.5">
      <c r="A373" s="86"/>
      <c r="B373" s="91"/>
      <c r="C373" s="92"/>
      <c r="D373" s="82"/>
      <c r="E373" s="82"/>
      <c r="F373" s="96"/>
    </row>
    <row r="374" spans="1:6" ht="13.5">
      <c r="A374" s="86"/>
      <c r="B374" s="91"/>
      <c r="C374" s="92"/>
      <c r="D374" s="82"/>
      <c r="E374" s="82"/>
      <c r="F374" s="96"/>
    </row>
    <row r="375" spans="1:6" ht="13.5">
      <c r="A375" s="86"/>
      <c r="B375" s="91"/>
      <c r="C375" s="92"/>
      <c r="D375" s="82"/>
      <c r="E375" s="82"/>
      <c r="F375" s="96"/>
    </row>
    <row r="376" spans="1:6" ht="13.5">
      <c r="A376" s="86"/>
      <c r="B376" s="91"/>
      <c r="C376" s="92"/>
      <c r="D376" s="82"/>
      <c r="E376" s="82"/>
      <c r="F376" s="96"/>
    </row>
    <row r="377" spans="1:6" ht="13.5">
      <c r="A377" s="86"/>
      <c r="B377" s="91"/>
      <c r="C377" s="92"/>
      <c r="D377" s="82"/>
      <c r="E377" s="82"/>
      <c r="F377" s="96"/>
    </row>
    <row r="378" spans="1:6" ht="13.5">
      <c r="A378" s="86"/>
      <c r="B378" s="91"/>
      <c r="C378" s="92"/>
      <c r="D378" s="82"/>
      <c r="E378" s="82"/>
      <c r="F378" s="96"/>
    </row>
    <row r="379" spans="1:6" ht="13.5">
      <c r="A379" s="86"/>
      <c r="B379" s="91"/>
      <c r="C379" s="92"/>
      <c r="D379" s="82"/>
      <c r="E379" s="82"/>
      <c r="F379" s="96"/>
    </row>
    <row r="380" spans="1:6" ht="13.5">
      <c r="A380" s="86"/>
      <c r="B380" s="91"/>
      <c r="C380" s="92"/>
      <c r="D380" s="82"/>
      <c r="E380" s="82"/>
      <c r="F380" s="96"/>
    </row>
    <row r="381" spans="1:6" ht="13.5">
      <c r="A381" s="86"/>
      <c r="B381" s="91"/>
      <c r="C381" s="92"/>
      <c r="D381" s="82"/>
      <c r="E381" s="82"/>
      <c r="F381" s="96"/>
    </row>
    <row r="382" spans="1:6" ht="13.5">
      <c r="A382" s="86"/>
      <c r="B382" s="91"/>
      <c r="C382" s="92"/>
      <c r="D382" s="82"/>
      <c r="E382" s="82"/>
      <c r="F382" s="96"/>
    </row>
    <row r="383" spans="1:6" ht="13.5">
      <c r="A383" s="86"/>
      <c r="B383" s="91"/>
      <c r="C383" s="92"/>
      <c r="D383" s="82"/>
      <c r="E383" s="82"/>
      <c r="F383" s="96"/>
    </row>
    <row r="384" spans="1:6" ht="13.5">
      <c r="A384" s="86"/>
      <c r="B384" s="91"/>
      <c r="C384" s="92"/>
      <c r="D384" s="82"/>
      <c r="E384" s="82"/>
      <c r="F384" s="96"/>
    </row>
    <row r="385" spans="1:6" ht="13.5">
      <c r="A385" s="86"/>
      <c r="B385" s="91"/>
      <c r="C385" s="92"/>
      <c r="D385" s="82"/>
      <c r="E385" s="82"/>
      <c r="F385" s="96"/>
    </row>
    <row r="386" spans="1:6" ht="13.5">
      <c r="A386" s="86"/>
      <c r="B386" s="91"/>
      <c r="C386" s="92"/>
      <c r="D386" s="82"/>
      <c r="E386" s="82"/>
      <c r="F386" s="96"/>
    </row>
    <row r="387" spans="1:6" ht="13.5">
      <c r="A387" s="86"/>
      <c r="B387" s="91"/>
      <c r="C387" s="92"/>
      <c r="D387" s="82"/>
      <c r="E387" s="82"/>
      <c r="F387" s="96"/>
    </row>
    <row r="388" spans="1:6" ht="13.5">
      <c r="A388" s="86"/>
      <c r="B388" s="91"/>
      <c r="C388" s="92"/>
      <c r="D388" s="82"/>
      <c r="E388" s="82"/>
      <c r="F388" s="96"/>
    </row>
    <row r="389" spans="1:6" ht="13.5">
      <c r="A389" s="86"/>
      <c r="B389" s="91"/>
      <c r="C389" s="92"/>
      <c r="D389" s="82"/>
      <c r="E389" s="82"/>
      <c r="F389" s="96"/>
    </row>
    <row r="390" spans="1:6" ht="13.5">
      <c r="A390" s="86"/>
      <c r="B390" s="91"/>
      <c r="C390" s="92"/>
      <c r="D390" s="82"/>
      <c r="E390" s="82"/>
      <c r="F390" s="96"/>
    </row>
    <row r="391" spans="1:6" ht="13.5">
      <c r="A391" s="86"/>
      <c r="B391" s="91"/>
      <c r="C391" s="92"/>
      <c r="D391" s="82"/>
      <c r="E391" s="82"/>
      <c r="F391" s="96"/>
    </row>
    <row r="392" spans="1:6" ht="13.5">
      <c r="A392" s="86"/>
      <c r="B392" s="91"/>
      <c r="C392" s="92"/>
      <c r="D392" s="82"/>
      <c r="E392" s="82"/>
      <c r="F392" s="96"/>
    </row>
    <row r="393" spans="1:6" ht="13.5">
      <c r="A393" s="86"/>
      <c r="B393" s="91"/>
      <c r="C393" s="92"/>
      <c r="D393" s="82"/>
      <c r="E393" s="82"/>
      <c r="F393" s="96"/>
    </row>
    <row r="394" spans="1:6" ht="13.5">
      <c r="A394" s="86"/>
      <c r="B394" s="91"/>
      <c r="C394" s="92"/>
      <c r="D394" s="82"/>
      <c r="E394" s="82"/>
      <c r="F394" s="96"/>
    </row>
    <row r="395" spans="1:6" ht="13.5">
      <c r="A395" s="86"/>
      <c r="B395" s="91"/>
      <c r="C395" s="92"/>
      <c r="D395" s="82"/>
      <c r="E395" s="82"/>
      <c r="F395" s="96"/>
    </row>
    <row r="396" spans="1:6" ht="13.5">
      <c r="A396" s="86"/>
      <c r="B396" s="91"/>
      <c r="C396" s="92"/>
      <c r="D396" s="82"/>
      <c r="E396" s="82"/>
      <c r="F396" s="96"/>
    </row>
    <row r="397" spans="1:6" ht="13.5">
      <c r="A397" s="86"/>
      <c r="B397" s="91"/>
      <c r="C397" s="92"/>
      <c r="D397" s="82"/>
      <c r="E397" s="82"/>
      <c r="F397" s="96"/>
    </row>
    <row r="398" spans="1:6" ht="13.5">
      <c r="A398" s="86"/>
      <c r="B398" s="91"/>
      <c r="C398" s="92"/>
      <c r="D398" s="82"/>
      <c r="E398" s="82"/>
      <c r="F398" s="96"/>
    </row>
    <row r="399" spans="1:6" ht="13.5">
      <c r="A399" s="86"/>
      <c r="B399" s="91"/>
      <c r="C399" s="92"/>
      <c r="D399" s="82"/>
      <c r="E399" s="82"/>
      <c r="F399" s="96"/>
    </row>
    <row r="400" spans="1:6" ht="13.5">
      <c r="A400" s="86"/>
      <c r="B400" s="91"/>
      <c r="C400" s="92"/>
      <c r="D400" s="82"/>
      <c r="E400" s="82"/>
      <c r="F400" s="96"/>
    </row>
    <row r="401" spans="1:6" ht="13.5">
      <c r="A401" s="86"/>
      <c r="B401" s="91"/>
      <c r="C401" s="92"/>
      <c r="D401" s="82"/>
      <c r="E401" s="82"/>
      <c r="F401" s="96"/>
    </row>
    <row r="402" spans="1:6" ht="13.5">
      <c r="A402" s="86"/>
      <c r="B402" s="91"/>
      <c r="C402" s="92"/>
      <c r="D402" s="82"/>
      <c r="E402" s="82"/>
      <c r="F402" s="96"/>
    </row>
    <row r="403" spans="1:6" ht="13.5">
      <c r="A403" s="86"/>
      <c r="B403" s="91"/>
      <c r="C403" s="92"/>
      <c r="D403" s="82"/>
      <c r="E403" s="82"/>
      <c r="F403" s="96"/>
    </row>
    <row r="404" spans="1:6" ht="13.5">
      <c r="A404" s="86"/>
      <c r="B404" s="91"/>
      <c r="C404" s="92"/>
      <c r="D404" s="82"/>
      <c r="E404" s="82"/>
      <c r="F404" s="96"/>
    </row>
    <row r="405" spans="1:6" ht="13.5">
      <c r="A405" s="86"/>
      <c r="B405" s="91"/>
      <c r="C405" s="92"/>
      <c r="D405" s="82"/>
      <c r="E405" s="82"/>
      <c r="F405" s="96"/>
    </row>
    <row r="406" spans="1:6" ht="13.5">
      <c r="A406" s="86"/>
      <c r="B406" s="91"/>
      <c r="C406" s="92"/>
      <c r="D406" s="82"/>
      <c r="E406" s="82"/>
      <c r="F406" s="96"/>
    </row>
    <row r="407" spans="1:6" ht="13.5">
      <c r="A407" s="86"/>
      <c r="B407" s="91"/>
      <c r="C407" s="92"/>
      <c r="D407" s="82"/>
      <c r="E407" s="82"/>
      <c r="F407" s="96"/>
    </row>
    <row r="408" spans="1:6" ht="13.5">
      <c r="A408" s="86"/>
      <c r="B408" s="91"/>
      <c r="C408" s="92"/>
      <c r="D408" s="82"/>
      <c r="E408" s="82"/>
      <c r="F408" s="96"/>
    </row>
    <row r="409" spans="1:6" ht="13.5">
      <c r="A409" s="86"/>
      <c r="B409" s="91"/>
      <c r="C409" s="92"/>
      <c r="D409" s="82"/>
      <c r="E409" s="82"/>
      <c r="F409" s="96"/>
    </row>
    <row r="410" spans="1:6" ht="13.5">
      <c r="A410" s="86"/>
      <c r="B410" s="91"/>
      <c r="C410" s="92"/>
      <c r="D410" s="82"/>
      <c r="E410" s="82"/>
      <c r="F410" s="96"/>
    </row>
    <row r="411" spans="1:6" ht="13.5">
      <c r="A411" s="86"/>
      <c r="B411" s="91"/>
      <c r="C411" s="92"/>
      <c r="D411" s="82"/>
      <c r="E411" s="82"/>
      <c r="F411" s="96"/>
    </row>
    <row r="412" spans="1:6" ht="13.5">
      <c r="A412" s="86"/>
      <c r="B412" s="91"/>
      <c r="C412" s="92"/>
      <c r="D412" s="82"/>
      <c r="E412" s="82"/>
      <c r="F412" s="96"/>
    </row>
    <row r="413" spans="1:6" ht="13.5">
      <c r="A413" s="86"/>
      <c r="B413" s="91"/>
      <c r="C413" s="92"/>
      <c r="D413" s="82"/>
      <c r="E413" s="82"/>
      <c r="F413" s="96"/>
    </row>
    <row r="414" spans="1:6" ht="13.5">
      <c r="A414" s="86"/>
      <c r="B414" s="91"/>
      <c r="C414" s="92"/>
      <c r="D414" s="82"/>
      <c r="E414" s="82"/>
      <c r="F414" s="96"/>
    </row>
    <row r="415" spans="1:6" ht="13.5">
      <c r="A415" s="86"/>
      <c r="B415" s="91"/>
      <c r="C415" s="92"/>
      <c r="D415" s="82"/>
      <c r="E415" s="82"/>
      <c r="F415" s="96"/>
    </row>
    <row r="416" spans="1:6" ht="13.5">
      <c r="A416" s="86"/>
      <c r="B416" s="91"/>
      <c r="C416" s="92"/>
      <c r="D416" s="82"/>
      <c r="E416" s="82"/>
      <c r="F416" s="96"/>
    </row>
    <row r="417" spans="1:6" ht="13.5">
      <c r="A417" s="86"/>
      <c r="B417" s="91"/>
      <c r="C417" s="92"/>
      <c r="D417" s="82"/>
      <c r="E417" s="82"/>
      <c r="F417" s="96"/>
    </row>
    <row r="418" spans="1:6" ht="13.5">
      <c r="A418" s="86"/>
      <c r="B418" s="91"/>
      <c r="C418" s="92"/>
      <c r="D418" s="82"/>
      <c r="E418" s="82"/>
      <c r="F418" s="96"/>
    </row>
    <row r="419" spans="1:6" ht="13.5">
      <c r="A419" s="86"/>
      <c r="B419" s="91"/>
      <c r="C419" s="92"/>
      <c r="D419" s="82"/>
      <c r="E419" s="82"/>
      <c r="F419" s="96"/>
    </row>
    <row r="420" spans="1:6" ht="13.5">
      <c r="A420" s="86"/>
      <c r="B420" s="91"/>
      <c r="C420" s="92"/>
      <c r="D420" s="82"/>
      <c r="E420" s="82"/>
      <c r="F420" s="96"/>
    </row>
    <row r="421" spans="1:6" ht="13.5">
      <c r="A421" s="86"/>
      <c r="B421" s="91"/>
      <c r="C421" s="92"/>
      <c r="D421" s="82"/>
      <c r="E421" s="82"/>
      <c r="F421" s="96"/>
    </row>
    <row r="422" spans="1:6" ht="13.5">
      <c r="A422" s="86"/>
      <c r="B422" s="91"/>
      <c r="C422" s="92"/>
      <c r="D422" s="82"/>
      <c r="E422" s="82"/>
      <c r="F422" s="96"/>
    </row>
    <row r="423" spans="1:6" ht="13.5">
      <c r="A423" s="86"/>
      <c r="B423" s="91"/>
      <c r="C423" s="92"/>
      <c r="D423" s="82"/>
      <c r="E423" s="82"/>
      <c r="F423" s="96"/>
    </row>
    <row r="424" spans="1:6" ht="13.5">
      <c r="A424" s="86"/>
      <c r="B424" s="91"/>
      <c r="C424" s="92"/>
      <c r="D424" s="82"/>
      <c r="E424" s="82"/>
      <c r="F424" s="96"/>
    </row>
    <row r="425" spans="1:6" ht="13.5">
      <c r="A425" s="86"/>
      <c r="B425" s="91"/>
      <c r="C425" s="92"/>
      <c r="D425" s="82"/>
      <c r="E425" s="82"/>
      <c r="F425" s="96"/>
    </row>
    <row r="426" spans="1:6" ht="13.5">
      <c r="A426" s="86"/>
      <c r="B426" s="91"/>
      <c r="C426" s="92"/>
      <c r="D426" s="82"/>
      <c r="E426" s="82"/>
      <c r="F426" s="96"/>
    </row>
    <row r="427" spans="1:6" ht="13.5">
      <c r="A427" s="86"/>
      <c r="B427" s="91"/>
      <c r="C427" s="92"/>
      <c r="D427" s="82"/>
      <c r="E427" s="82"/>
      <c r="F427" s="96"/>
    </row>
    <row r="428" spans="1:6" ht="13.5">
      <c r="A428" s="86"/>
      <c r="B428" s="91"/>
      <c r="C428" s="92"/>
      <c r="D428" s="82"/>
      <c r="E428" s="82"/>
      <c r="F428" s="96"/>
    </row>
    <row r="429" spans="1:6" ht="13.5">
      <c r="A429" s="86"/>
      <c r="B429" s="91"/>
      <c r="C429" s="92"/>
      <c r="D429" s="82"/>
      <c r="E429" s="82"/>
      <c r="F429" s="96"/>
    </row>
    <row r="430" spans="1:6" ht="13.5">
      <c r="A430" s="86"/>
      <c r="B430" s="91"/>
      <c r="C430" s="92"/>
      <c r="D430" s="82"/>
      <c r="E430" s="82"/>
      <c r="F430" s="96"/>
    </row>
    <row r="431" spans="1:6" ht="13.5">
      <c r="A431" s="86"/>
      <c r="B431" s="91"/>
      <c r="C431" s="92"/>
      <c r="D431" s="82"/>
      <c r="E431" s="82"/>
      <c r="F431" s="96"/>
    </row>
    <row r="432" spans="1:6" ht="13.5">
      <c r="A432" s="86"/>
      <c r="B432" s="91"/>
      <c r="C432" s="92"/>
      <c r="D432" s="82"/>
      <c r="E432" s="82"/>
      <c r="F432" s="96"/>
    </row>
    <row r="433" spans="1:6" ht="13.5">
      <c r="A433" s="86"/>
      <c r="B433" s="91"/>
      <c r="C433" s="92"/>
      <c r="D433" s="82"/>
      <c r="E433" s="82"/>
      <c r="F433" s="96"/>
    </row>
    <row r="434" spans="1:6" ht="13.5">
      <c r="A434" s="86"/>
      <c r="B434" s="91"/>
      <c r="C434" s="92"/>
      <c r="D434" s="82"/>
      <c r="E434" s="82"/>
      <c r="F434" s="96"/>
    </row>
    <row r="435" spans="1:6" ht="13.5">
      <c r="A435" s="86"/>
      <c r="B435" s="91"/>
      <c r="C435" s="92"/>
      <c r="D435" s="82"/>
      <c r="E435" s="82"/>
      <c r="F435" s="96"/>
    </row>
    <row r="436" spans="1:6" ht="13.5">
      <c r="A436" s="86"/>
      <c r="B436" s="91"/>
      <c r="C436" s="92"/>
      <c r="D436" s="82"/>
      <c r="E436" s="82"/>
      <c r="F436" s="96"/>
    </row>
    <row r="437" spans="1:6" ht="13.5">
      <c r="A437" s="86"/>
      <c r="B437" s="91"/>
      <c r="C437" s="92"/>
      <c r="D437" s="82"/>
      <c r="E437" s="82"/>
      <c r="F437" s="96"/>
    </row>
    <row r="438" spans="1:6" ht="13.5">
      <c r="A438" s="86"/>
      <c r="B438" s="91"/>
      <c r="C438" s="92"/>
      <c r="D438" s="82"/>
      <c r="E438" s="82"/>
      <c r="F438" s="96"/>
    </row>
    <row r="439" spans="1:6" ht="13.5">
      <c r="A439" s="86"/>
      <c r="B439" s="91"/>
      <c r="C439" s="92"/>
      <c r="D439" s="82"/>
      <c r="E439" s="82"/>
      <c r="F439" s="96"/>
    </row>
    <row r="440" spans="1:6" ht="13.5">
      <c r="A440" s="86"/>
      <c r="B440" s="91"/>
      <c r="C440" s="92"/>
      <c r="D440" s="82"/>
      <c r="E440" s="82"/>
      <c r="F440" s="96"/>
    </row>
    <row r="441" spans="1:6" ht="13.5">
      <c r="A441" s="86"/>
      <c r="B441" s="91"/>
      <c r="C441" s="92"/>
      <c r="D441" s="82"/>
      <c r="E441" s="82"/>
      <c r="F441" s="96"/>
    </row>
    <row r="442" spans="1:6" ht="13.5">
      <c r="A442" s="86"/>
      <c r="B442" s="91"/>
      <c r="C442" s="92"/>
      <c r="D442" s="82"/>
      <c r="E442" s="82"/>
      <c r="F442" s="96"/>
    </row>
    <row r="443" spans="1:6" ht="13.5">
      <c r="A443" s="86"/>
      <c r="B443" s="91"/>
      <c r="C443" s="92"/>
      <c r="D443" s="82"/>
      <c r="E443" s="82"/>
      <c r="F443" s="96"/>
    </row>
    <row r="444" spans="1:6" ht="13.5">
      <c r="A444" s="86"/>
      <c r="B444" s="91"/>
      <c r="C444" s="92"/>
      <c r="D444" s="82"/>
      <c r="E444" s="82"/>
      <c r="F444" s="96"/>
    </row>
    <row r="445" spans="1:6" ht="13.5">
      <c r="A445" s="86"/>
      <c r="B445" s="91"/>
      <c r="C445" s="92"/>
      <c r="D445" s="82"/>
      <c r="E445" s="82"/>
      <c r="F445" s="96"/>
    </row>
    <row r="446" spans="1:6" ht="13.5">
      <c r="A446" s="86"/>
      <c r="B446" s="91"/>
      <c r="C446" s="92"/>
      <c r="D446" s="82"/>
      <c r="E446" s="82"/>
      <c r="F446" s="96"/>
    </row>
    <row r="447" spans="1:6" ht="13.5">
      <c r="A447" s="86"/>
      <c r="B447" s="91"/>
      <c r="C447" s="92"/>
      <c r="D447" s="82"/>
      <c r="E447" s="82"/>
      <c r="F447" s="96"/>
    </row>
    <row r="448" spans="1:6" ht="13.5">
      <c r="A448" s="86"/>
      <c r="B448" s="91"/>
      <c r="C448" s="92"/>
      <c r="D448" s="82"/>
      <c r="E448" s="82"/>
      <c r="F448" s="96"/>
    </row>
    <row r="449" spans="1:6" ht="13.5">
      <c r="A449" s="86"/>
      <c r="B449" s="91"/>
      <c r="C449" s="92"/>
      <c r="D449" s="82"/>
      <c r="E449" s="82"/>
      <c r="F449" s="96"/>
    </row>
    <row r="450" spans="1:6" ht="13.5">
      <c r="A450" s="86"/>
      <c r="B450" s="91"/>
      <c r="C450" s="92"/>
      <c r="D450" s="82"/>
      <c r="E450" s="82"/>
      <c r="F450" s="96"/>
    </row>
    <row r="451" spans="1:6" ht="13.5">
      <c r="A451" s="86"/>
      <c r="B451" s="91"/>
      <c r="C451" s="92"/>
      <c r="D451" s="82"/>
      <c r="E451" s="82"/>
      <c r="F451" s="96"/>
    </row>
    <row r="452" spans="1:6" ht="13.5">
      <c r="A452" s="86"/>
      <c r="B452" s="91"/>
      <c r="C452" s="92"/>
      <c r="D452" s="82"/>
      <c r="E452" s="82"/>
      <c r="F452" s="96"/>
    </row>
    <row r="453" spans="1:6" ht="13.5">
      <c r="A453" s="86"/>
      <c r="B453" s="91"/>
      <c r="C453" s="92"/>
      <c r="D453" s="82"/>
      <c r="E453" s="82"/>
      <c r="F453" s="96"/>
    </row>
    <row r="454" spans="1:6" ht="13.5">
      <c r="A454" s="86"/>
      <c r="B454" s="91"/>
      <c r="C454" s="92"/>
      <c r="D454" s="82"/>
      <c r="E454" s="82"/>
      <c r="F454" s="96"/>
    </row>
    <row r="455" spans="1:6" ht="13.5">
      <c r="A455" s="86"/>
      <c r="B455" s="91"/>
      <c r="C455" s="92"/>
      <c r="D455" s="82"/>
      <c r="E455" s="82"/>
      <c r="F455" s="96"/>
    </row>
    <row r="456" spans="1:6" ht="13.5">
      <c r="A456" s="86"/>
      <c r="B456" s="91"/>
      <c r="C456" s="92"/>
      <c r="D456" s="82"/>
      <c r="E456" s="82"/>
      <c r="F456" s="96"/>
    </row>
    <row r="457" spans="1:6" ht="13.5">
      <c r="A457" s="86"/>
      <c r="B457" s="91"/>
      <c r="C457" s="92"/>
      <c r="D457" s="82"/>
      <c r="E457" s="82"/>
      <c r="F457" s="96"/>
    </row>
    <row r="458" spans="1:6" ht="13.5">
      <c r="A458" s="86"/>
      <c r="B458" s="91"/>
      <c r="C458" s="92"/>
      <c r="D458" s="82"/>
      <c r="E458" s="82"/>
      <c r="F458" s="96"/>
    </row>
    <row r="459" spans="1:6" ht="13.5">
      <c r="A459" s="86"/>
      <c r="B459" s="91"/>
      <c r="C459" s="92"/>
      <c r="D459" s="82"/>
      <c r="E459" s="82"/>
      <c r="F459" s="96"/>
    </row>
    <row r="460" spans="1:6" ht="13.5">
      <c r="A460" s="86"/>
      <c r="B460" s="91"/>
      <c r="C460" s="92"/>
      <c r="D460" s="82"/>
      <c r="E460" s="82"/>
      <c r="F460" s="96"/>
    </row>
    <row r="461" spans="1:6" ht="13.5">
      <c r="A461" s="86"/>
      <c r="B461" s="91"/>
      <c r="C461" s="92"/>
      <c r="D461" s="82"/>
      <c r="E461" s="82"/>
      <c r="F461" s="96"/>
    </row>
    <row r="462" spans="1:6" ht="13.5">
      <c r="A462" s="86"/>
      <c r="B462" s="91"/>
      <c r="C462" s="92"/>
      <c r="D462" s="82"/>
      <c r="E462" s="82"/>
      <c r="F462" s="96"/>
    </row>
    <row r="463" spans="1:6" ht="13.5">
      <c r="A463" s="86"/>
      <c r="B463" s="91"/>
      <c r="C463" s="92"/>
      <c r="D463" s="82"/>
      <c r="E463" s="82"/>
      <c r="F463" s="96"/>
    </row>
    <row r="464" spans="1:6" ht="13.5">
      <c r="A464" s="86"/>
      <c r="B464" s="91"/>
      <c r="C464" s="92"/>
      <c r="D464" s="82"/>
      <c r="E464" s="82"/>
      <c r="F464" s="96"/>
    </row>
    <row r="465" spans="1:6" ht="13.5">
      <c r="A465" s="86"/>
      <c r="B465" s="91"/>
      <c r="C465" s="92"/>
      <c r="D465" s="82"/>
      <c r="E465" s="82"/>
      <c r="F465" s="96"/>
    </row>
    <row r="466" spans="1:6" ht="13.5">
      <c r="A466" s="86"/>
      <c r="B466" s="91"/>
      <c r="C466" s="92"/>
      <c r="D466" s="82"/>
      <c r="E466" s="82"/>
      <c r="F466" s="96"/>
    </row>
    <row r="467" spans="1:6" ht="13.5">
      <c r="A467" s="86"/>
      <c r="B467" s="91"/>
      <c r="C467" s="92"/>
      <c r="D467" s="82"/>
      <c r="E467" s="82"/>
      <c r="F467" s="96"/>
    </row>
    <row r="468" spans="1:6" ht="13.5">
      <c r="A468" s="86"/>
      <c r="B468" s="91"/>
      <c r="C468" s="92"/>
      <c r="D468" s="82"/>
      <c r="E468" s="82"/>
      <c r="F468" s="96"/>
    </row>
    <row r="469" spans="1:6" ht="13.5">
      <c r="A469" s="86"/>
      <c r="B469" s="91"/>
      <c r="C469" s="92"/>
      <c r="D469" s="82"/>
      <c r="E469" s="82"/>
      <c r="F469" s="96"/>
    </row>
    <row r="470" spans="1:6" ht="13.5">
      <c r="A470" s="86"/>
      <c r="B470" s="91"/>
      <c r="C470" s="92"/>
      <c r="D470" s="82"/>
      <c r="E470" s="82"/>
      <c r="F470" s="96"/>
    </row>
    <row r="471" spans="1:6" ht="13.5">
      <c r="A471" s="86"/>
      <c r="B471" s="91"/>
      <c r="C471" s="92"/>
      <c r="D471" s="82"/>
      <c r="E471" s="82"/>
      <c r="F471" s="96"/>
    </row>
    <row r="472" spans="1:6" ht="13.5">
      <c r="A472" s="86"/>
      <c r="B472" s="91"/>
      <c r="C472" s="92"/>
      <c r="D472" s="82"/>
      <c r="E472" s="82"/>
      <c r="F472" s="96"/>
    </row>
    <row r="473" spans="1:6" ht="13.5">
      <c r="A473" s="86"/>
      <c r="B473" s="91"/>
      <c r="C473" s="92"/>
      <c r="D473" s="82"/>
      <c r="E473" s="82"/>
      <c r="F473" s="96"/>
    </row>
    <row r="474" spans="1:6" ht="13.5">
      <c r="A474" s="86"/>
      <c r="B474" s="91"/>
      <c r="C474" s="92"/>
      <c r="D474" s="82"/>
      <c r="E474" s="82"/>
      <c r="F474" s="96"/>
    </row>
    <row r="475" spans="1:6" ht="13.5">
      <c r="A475" s="86"/>
      <c r="B475" s="91"/>
      <c r="C475" s="92"/>
      <c r="D475" s="82"/>
      <c r="E475" s="82"/>
      <c r="F475" s="96"/>
    </row>
    <row r="476" spans="1:6" ht="13.5">
      <c r="A476" s="86"/>
      <c r="B476" s="91"/>
      <c r="C476" s="92"/>
      <c r="D476" s="82"/>
      <c r="E476" s="82"/>
      <c r="F476" s="96"/>
    </row>
    <row r="477" spans="1:6" ht="13.5">
      <c r="A477" s="86"/>
      <c r="B477" s="91"/>
      <c r="C477" s="92"/>
      <c r="D477" s="82"/>
      <c r="E477" s="82"/>
      <c r="F477" s="96"/>
    </row>
    <row r="478" spans="1:6" ht="13.5">
      <c r="A478" s="86"/>
      <c r="B478" s="91"/>
      <c r="C478" s="92"/>
      <c r="D478" s="82"/>
      <c r="E478" s="82"/>
      <c r="F478" s="96"/>
    </row>
    <row r="479" spans="1:6" ht="13.5">
      <c r="A479" s="86"/>
      <c r="B479" s="91"/>
      <c r="C479" s="92"/>
      <c r="D479" s="82"/>
      <c r="E479" s="82"/>
      <c r="F479" s="96"/>
    </row>
    <row r="480" spans="1:6" ht="13.5">
      <c r="A480" s="86"/>
      <c r="B480" s="91"/>
      <c r="C480" s="92"/>
      <c r="D480" s="82"/>
      <c r="E480" s="82"/>
      <c r="F480" s="96"/>
    </row>
    <row r="481" spans="1:6" ht="13.5">
      <c r="A481" s="86"/>
      <c r="B481" s="91"/>
      <c r="C481" s="92"/>
      <c r="D481" s="82"/>
      <c r="E481" s="82"/>
      <c r="F481" s="96"/>
    </row>
    <row r="482" spans="1:6" ht="13.5">
      <c r="A482" s="86"/>
      <c r="B482" s="91"/>
      <c r="C482" s="92"/>
      <c r="D482" s="82"/>
      <c r="E482" s="82"/>
      <c r="F482" s="96"/>
    </row>
    <row r="483" spans="1:6" ht="13.5">
      <c r="A483" s="86"/>
      <c r="B483" s="91"/>
      <c r="C483" s="92"/>
      <c r="D483" s="82"/>
      <c r="E483" s="82"/>
      <c r="F483" s="96"/>
    </row>
    <row r="484" spans="1:6" ht="13.5">
      <c r="A484" s="86"/>
      <c r="B484" s="91"/>
      <c r="C484" s="92"/>
      <c r="D484" s="82"/>
      <c r="E484" s="82"/>
      <c r="F484" s="96"/>
    </row>
    <row r="485" spans="1:6" ht="13.5">
      <c r="A485" s="86"/>
      <c r="B485" s="91"/>
      <c r="C485" s="92"/>
      <c r="D485" s="82"/>
      <c r="E485" s="82"/>
      <c r="F485" s="96"/>
    </row>
    <row r="486" spans="1:6" ht="13.5">
      <c r="A486" s="86"/>
      <c r="B486" s="91"/>
      <c r="C486" s="92"/>
      <c r="D486" s="82"/>
      <c r="E486" s="82"/>
      <c r="F486" s="96"/>
    </row>
    <row r="487" spans="1:6" ht="13.5">
      <c r="A487" s="86"/>
      <c r="B487" s="91"/>
      <c r="C487" s="92"/>
      <c r="D487" s="82"/>
      <c r="E487" s="82"/>
      <c r="F487" s="96"/>
    </row>
    <row r="488" spans="1:6" ht="13.5">
      <c r="A488" s="86"/>
      <c r="B488" s="91"/>
      <c r="C488" s="92"/>
      <c r="D488" s="82"/>
      <c r="E488" s="82"/>
      <c r="F488" s="96"/>
    </row>
    <row r="489" spans="1:6" ht="13.5">
      <c r="A489" s="86"/>
      <c r="B489" s="91"/>
      <c r="C489" s="92"/>
      <c r="D489" s="82"/>
      <c r="E489" s="82"/>
      <c r="F489" s="96"/>
    </row>
    <row r="490" spans="1:6" ht="13.5">
      <c r="A490" s="86"/>
      <c r="B490" s="91"/>
      <c r="C490" s="92"/>
      <c r="D490" s="82"/>
      <c r="E490" s="82"/>
      <c r="F490" s="96"/>
    </row>
    <row r="491" spans="1:6" ht="13.5">
      <c r="A491" s="86"/>
      <c r="B491" s="91"/>
      <c r="C491" s="92"/>
      <c r="D491" s="82"/>
      <c r="E491" s="82"/>
      <c r="F491" s="96"/>
    </row>
    <row r="492" spans="1:6" ht="13.5">
      <c r="A492" s="86"/>
      <c r="B492" s="91"/>
      <c r="C492" s="92"/>
      <c r="D492" s="82"/>
      <c r="E492" s="82"/>
      <c r="F492" s="96"/>
    </row>
    <row r="493" spans="1:6" ht="13.5">
      <c r="A493" s="86"/>
      <c r="B493" s="91"/>
      <c r="C493" s="92"/>
      <c r="D493" s="82"/>
      <c r="E493" s="82"/>
      <c r="F493" s="96"/>
    </row>
    <row r="494" spans="1:6" ht="13.5">
      <c r="A494" s="86"/>
      <c r="B494" s="91"/>
      <c r="C494" s="92"/>
      <c r="D494" s="82"/>
      <c r="E494" s="82"/>
      <c r="F494" s="96"/>
    </row>
    <row r="495" spans="1:6" ht="13.5">
      <c r="A495" s="86"/>
      <c r="B495" s="91"/>
      <c r="C495" s="92"/>
      <c r="D495" s="82"/>
      <c r="E495" s="82"/>
      <c r="F495" s="96"/>
    </row>
    <row r="496" spans="1:6" ht="13.5">
      <c r="A496" s="86"/>
      <c r="B496" s="91"/>
      <c r="C496" s="92"/>
      <c r="D496" s="82"/>
      <c r="E496" s="82"/>
      <c r="F496" s="96"/>
    </row>
    <row r="497" spans="1:6" ht="13.5">
      <c r="A497" s="86"/>
      <c r="B497" s="91"/>
      <c r="C497" s="92"/>
      <c r="D497" s="82"/>
      <c r="E497" s="82"/>
      <c r="F497" s="96"/>
    </row>
    <row r="498" spans="1:6" ht="13.5">
      <c r="A498" s="86"/>
      <c r="B498" s="91"/>
      <c r="C498" s="92"/>
      <c r="D498" s="82"/>
      <c r="E498" s="82"/>
      <c r="F498" s="96"/>
    </row>
    <row r="499" spans="1:6" ht="13.5">
      <c r="A499" s="86"/>
      <c r="B499" s="91"/>
      <c r="C499" s="92"/>
      <c r="D499" s="82"/>
      <c r="E499" s="82"/>
      <c r="F499" s="96"/>
    </row>
    <row r="500" spans="1:6" ht="13.5">
      <c r="A500" s="86"/>
      <c r="B500" s="91"/>
      <c r="C500" s="92"/>
      <c r="D500" s="82"/>
      <c r="E500" s="82"/>
      <c r="F500" s="96"/>
    </row>
    <row r="501" spans="1:6" ht="13.5">
      <c r="A501" s="86"/>
      <c r="B501" s="91"/>
      <c r="C501" s="92"/>
      <c r="D501" s="82"/>
      <c r="E501" s="82"/>
      <c r="F501" s="96"/>
    </row>
    <row r="502" spans="1:6" ht="13.5">
      <c r="A502" s="86"/>
      <c r="B502" s="91"/>
      <c r="C502" s="92"/>
      <c r="D502" s="82"/>
      <c r="E502" s="82"/>
      <c r="F502" s="96"/>
    </row>
    <row r="503" spans="1:6" ht="13.5">
      <c r="A503" s="86"/>
      <c r="B503" s="91"/>
      <c r="C503" s="92"/>
      <c r="D503" s="82"/>
      <c r="E503" s="82"/>
      <c r="F503" s="96"/>
    </row>
    <row r="504" spans="1:6" ht="13.5">
      <c r="A504" s="86"/>
      <c r="B504" s="91"/>
      <c r="C504" s="92"/>
      <c r="D504" s="82"/>
      <c r="E504" s="82"/>
      <c r="F504" s="96"/>
    </row>
    <row r="505" spans="1:6" ht="13.5">
      <c r="A505" s="86"/>
      <c r="B505" s="91"/>
      <c r="C505" s="92"/>
      <c r="D505" s="82"/>
      <c r="E505" s="82"/>
      <c r="F505" s="96"/>
    </row>
    <row r="506" spans="1:6" ht="13.5">
      <c r="A506" s="86"/>
      <c r="B506" s="91"/>
      <c r="C506" s="92"/>
      <c r="D506" s="82"/>
      <c r="E506" s="82"/>
      <c r="F506" s="96"/>
    </row>
    <row r="507" spans="1:6" ht="13.5">
      <c r="A507" s="86"/>
      <c r="B507" s="91"/>
      <c r="C507" s="92"/>
      <c r="D507" s="82"/>
      <c r="E507" s="82"/>
      <c r="F507" s="96"/>
    </row>
    <row r="508" spans="1:6" ht="13.5">
      <c r="A508" s="86"/>
      <c r="B508" s="91"/>
      <c r="C508" s="92"/>
      <c r="D508" s="82"/>
      <c r="E508" s="82"/>
      <c r="F508" s="96"/>
    </row>
    <row r="509" spans="1:6" ht="13.5">
      <c r="A509" s="86"/>
      <c r="B509" s="91"/>
      <c r="C509" s="92"/>
      <c r="D509" s="82"/>
      <c r="E509" s="82"/>
      <c r="F509" s="96"/>
    </row>
    <row r="510" spans="1:6" ht="13.5">
      <c r="A510" s="86"/>
      <c r="B510" s="91"/>
      <c r="C510" s="92"/>
      <c r="D510" s="82"/>
      <c r="E510" s="82"/>
      <c r="F510" s="96"/>
    </row>
    <row r="511" spans="1:6" ht="13.5">
      <c r="A511" s="86"/>
      <c r="B511" s="91"/>
      <c r="C511" s="92"/>
      <c r="D511" s="82"/>
      <c r="E511" s="82"/>
      <c r="F511" s="96"/>
    </row>
    <row r="512" spans="1:6" ht="13.5">
      <c r="A512" s="86"/>
      <c r="B512" s="91"/>
      <c r="C512" s="92"/>
      <c r="D512" s="82"/>
      <c r="E512" s="82"/>
      <c r="F512" s="96"/>
    </row>
    <row r="513" spans="1:6" ht="13.5">
      <c r="A513" s="86"/>
      <c r="B513" s="91"/>
      <c r="C513" s="92"/>
      <c r="D513" s="82"/>
      <c r="E513" s="82"/>
      <c r="F513" s="96"/>
    </row>
    <row r="514" spans="1:6" ht="13.5">
      <c r="A514" s="86"/>
      <c r="B514" s="91"/>
      <c r="C514" s="92"/>
      <c r="D514" s="82"/>
      <c r="E514" s="82"/>
      <c r="F514" s="96"/>
    </row>
    <row r="515" spans="1:6" ht="13.5">
      <c r="A515" s="86"/>
      <c r="B515" s="91"/>
      <c r="C515" s="92"/>
      <c r="D515" s="82"/>
      <c r="E515" s="82"/>
      <c r="F515" s="96"/>
    </row>
    <row r="516" spans="1:6" ht="13.5">
      <c r="A516" s="86"/>
      <c r="B516" s="91"/>
      <c r="C516" s="92"/>
      <c r="D516" s="82"/>
      <c r="E516" s="82"/>
      <c r="F516" s="96"/>
    </row>
    <row r="517" spans="1:6" ht="13.5">
      <c r="A517" s="86"/>
      <c r="B517" s="91"/>
      <c r="C517" s="92"/>
      <c r="D517" s="82"/>
      <c r="E517" s="82"/>
      <c r="F517" s="96"/>
    </row>
    <row r="518" spans="1:6" ht="13.5">
      <c r="A518" s="86"/>
      <c r="B518" s="91"/>
      <c r="C518" s="92"/>
      <c r="D518" s="82"/>
      <c r="E518" s="82"/>
      <c r="F518" s="96"/>
    </row>
    <row r="519" spans="1:6" ht="13.5">
      <c r="A519" s="86"/>
      <c r="B519" s="91"/>
      <c r="C519" s="92"/>
      <c r="D519" s="82"/>
      <c r="E519" s="82"/>
      <c r="F519" s="96"/>
    </row>
    <row r="520" spans="1:6" ht="13.5">
      <c r="A520" s="86"/>
      <c r="B520" s="91"/>
      <c r="C520" s="92"/>
      <c r="D520" s="82"/>
      <c r="E520" s="82"/>
      <c r="F520" s="96"/>
    </row>
    <row r="521" spans="1:6" ht="13.5">
      <c r="A521" s="86"/>
      <c r="B521" s="91"/>
      <c r="C521" s="92"/>
      <c r="D521" s="82"/>
      <c r="E521" s="82"/>
      <c r="F521" s="96"/>
    </row>
    <row r="522" spans="1:6" ht="13.5">
      <c r="A522" s="86"/>
      <c r="B522" s="91"/>
      <c r="C522" s="92"/>
      <c r="D522" s="82"/>
      <c r="E522" s="82"/>
      <c r="F522" s="96"/>
    </row>
    <row r="523" spans="1:6" ht="13.5">
      <c r="A523" s="86"/>
      <c r="B523" s="91"/>
      <c r="C523" s="92"/>
      <c r="D523" s="82"/>
      <c r="E523" s="82"/>
      <c r="F523" s="96"/>
    </row>
    <row r="524" spans="1:6" ht="13.5">
      <c r="A524" s="86"/>
      <c r="B524" s="91"/>
      <c r="C524" s="92"/>
      <c r="D524" s="82"/>
      <c r="E524" s="82"/>
      <c r="F524" s="96"/>
    </row>
    <row r="525" spans="1:6" ht="13.5">
      <c r="A525" s="86"/>
      <c r="B525" s="91"/>
      <c r="C525" s="92"/>
      <c r="D525" s="82"/>
      <c r="E525" s="82"/>
      <c r="F525" s="96"/>
    </row>
    <row r="526" spans="1:6" ht="13.5">
      <c r="A526" s="86"/>
      <c r="B526" s="91"/>
      <c r="C526" s="92"/>
      <c r="D526" s="82"/>
      <c r="E526" s="82"/>
      <c r="F526" s="96"/>
    </row>
    <row r="527" spans="1:6" ht="13.5">
      <c r="A527" s="86"/>
      <c r="B527" s="91"/>
      <c r="C527" s="92"/>
      <c r="D527" s="82"/>
      <c r="E527" s="82"/>
      <c r="F527" s="96"/>
    </row>
    <row r="528" spans="1:6" ht="13.5">
      <c r="A528" s="86"/>
      <c r="B528" s="91"/>
      <c r="C528" s="92"/>
      <c r="D528" s="82"/>
      <c r="E528" s="82"/>
      <c r="F528" s="96"/>
    </row>
    <row r="529" spans="1:6" ht="13.5">
      <c r="A529" s="86"/>
      <c r="B529" s="91"/>
      <c r="C529" s="92"/>
      <c r="D529" s="82"/>
      <c r="E529" s="82"/>
      <c r="F529" s="96"/>
    </row>
    <row r="530" spans="1:6" ht="13.5">
      <c r="A530" s="86"/>
      <c r="B530" s="91"/>
      <c r="C530" s="92"/>
      <c r="D530" s="82"/>
      <c r="E530" s="82"/>
      <c r="F530" s="96"/>
    </row>
    <row r="531" spans="1:6" ht="13.5">
      <c r="A531" s="86"/>
      <c r="B531" s="91"/>
      <c r="C531" s="92"/>
      <c r="D531" s="82"/>
      <c r="E531" s="82"/>
      <c r="F531" s="96"/>
    </row>
    <row r="532" spans="1:6" ht="13.5">
      <c r="A532" s="86"/>
      <c r="B532" s="91"/>
      <c r="C532" s="92"/>
      <c r="D532" s="82"/>
      <c r="E532" s="82"/>
      <c r="F532" s="96"/>
    </row>
    <row r="533" spans="1:6" ht="13.5">
      <c r="A533" s="86"/>
      <c r="B533" s="91"/>
      <c r="C533" s="92"/>
      <c r="D533" s="82"/>
      <c r="E533" s="82"/>
      <c r="F533" s="96"/>
    </row>
    <row r="534" spans="1:6" ht="13.5">
      <c r="A534" s="86"/>
      <c r="B534" s="91"/>
      <c r="C534" s="92"/>
      <c r="D534" s="82"/>
      <c r="E534" s="82"/>
      <c r="F534" s="96"/>
    </row>
    <row r="535" spans="1:6" ht="13.5">
      <c r="A535" s="86"/>
      <c r="B535" s="91"/>
      <c r="C535" s="92"/>
      <c r="D535" s="82"/>
      <c r="E535" s="82"/>
      <c r="F535" s="96"/>
    </row>
    <row r="536" spans="1:6" ht="13.5">
      <c r="A536" s="86"/>
      <c r="B536" s="91"/>
      <c r="C536" s="92"/>
      <c r="D536" s="82"/>
      <c r="E536" s="82"/>
      <c r="F536" s="96"/>
    </row>
    <row r="537" spans="1:6" ht="13.5">
      <c r="A537" s="86"/>
      <c r="B537" s="91"/>
      <c r="C537" s="92"/>
      <c r="D537" s="82"/>
      <c r="E537" s="82"/>
      <c r="F537" s="96"/>
    </row>
    <row r="538" spans="1:6" ht="13.5">
      <c r="A538" s="86"/>
      <c r="B538" s="91"/>
      <c r="C538" s="92"/>
      <c r="D538" s="82"/>
      <c r="E538" s="82"/>
      <c r="F538" s="96"/>
    </row>
    <row r="539" spans="1:6" ht="13.5">
      <c r="A539" s="86"/>
      <c r="B539" s="91"/>
      <c r="C539" s="92"/>
      <c r="D539" s="82"/>
      <c r="E539" s="82"/>
      <c r="F539" s="96"/>
    </row>
    <row r="540" spans="1:6" ht="13.5">
      <c r="A540" s="86"/>
      <c r="B540" s="91"/>
      <c r="C540" s="92"/>
      <c r="D540" s="82"/>
      <c r="E540" s="82"/>
      <c r="F540" s="96"/>
    </row>
    <row r="541" spans="1:6" ht="13.5">
      <c r="A541" s="86"/>
      <c r="B541" s="91"/>
      <c r="C541" s="92"/>
      <c r="D541" s="82"/>
      <c r="E541" s="82"/>
      <c r="F541" s="96"/>
    </row>
    <row r="542" spans="1:6" ht="13.5">
      <c r="A542" s="86"/>
      <c r="B542" s="91"/>
      <c r="C542" s="92"/>
      <c r="D542" s="82"/>
      <c r="E542" s="82"/>
      <c r="F542" s="96"/>
    </row>
    <row r="543" spans="1:6" ht="13.5">
      <c r="A543" s="86"/>
      <c r="B543" s="91"/>
      <c r="C543" s="92"/>
      <c r="D543" s="82"/>
      <c r="E543" s="82"/>
      <c r="F543" s="96"/>
    </row>
    <row r="544" spans="1:6" ht="13.5">
      <c r="A544" s="86"/>
      <c r="B544" s="91"/>
      <c r="C544" s="92"/>
      <c r="D544" s="82"/>
      <c r="E544" s="82"/>
      <c r="F544" s="96"/>
    </row>
    <row r="545" spans="1:6" ht="13.5">
      <c r="A545" s="86"/>
      <c r="B545" s="91"/>
      <c r="C545" s="92"/>
      <c r="D545" s="82"/>
      <c r="E545" s="82"/>
      <c r="F545" s="96"/>
    </row>
    <row r="546" spans="1:6" ht="13.5">
      <c r="A546" s="86"/>
      <c r="B546" s="91"/>
      <c r="C546" s="92"/>
      <c r="D546" s="82"/>
      <c r="E546" s="82"/>
      <c r="F546" s="96"/>
    </row>
    <row r="547" spans="1:6" ht="13.5">
      <c r="A547" s="86"/>
      <c r="B547" s="91"/>
      <c r="C547" s="92"/>
      <c r="D547" s="82"/>
      <c r="E547" s="82"/>
      <c r="F547" s="96"/>
    </row>
    <row r="548" spans="1:6" ht="13.5">
      <c r="A548" s="86"/>
      <c r="B548" s="91"/>
      <c r="C548" s="92"/>
      <c r="D548" s="82"/>
      <c r="E548" s="82"/>
      <c r="F548" s="96"/>
    </row>
    <row r="549" spans="1:6" ht="13.5">
      <c r="A549" s="86"/>
      <c r="B549" s="91"/>
      <c r="C549" s="92"/>
      <c r="D549" s="82"/>
      <c r="E549" s="82"/>
      <c r="F549" s="96"/>
    </row>
    <row r="550" spans="1:6" ht="13.5">
      <c r="A550" s="86"/>
      <c r="B550" s="91"/>
      <c r="C550" s="92"/>
      <c r="D550" s="82"/>
      <c r="E550" s="82"/>
      <c r="F550" s="96"/>
    </row>
    <row r="551" spans="1:6" ht="13.5">
      <c r="A551" s="86"/>
      <c r="B551" s="91"/>
      <c r="C551" s="92"/>
      <c r="D551" s="82"/>
      <c r="E551" s="82"/>
      <c r="F551" s="96"/>
    </row>
    <row r="552" spans="1:6" ht="13.5">
      <c r="A552" s="86"/>
      <c r="B552" s="91"/>
      <c r="C552" s="92"/>
      <c r="D552" s="82"/>
      <c r="E552" s="82"/>
      <c r="F552" s="96"/>
    </row>
    <row r="553" spans="1:6" ht="13.5">
      <c r="A553" s="86"/>
      <c r="B553" s="91"/>
      <c r="C553" s="92"/>
      <c r="D553" s="82"/>
      <c r="E553" s="82"/>
      <c r="F553" s="96"/>
    </row>
    <row r="554" spans="1:6" ht="13.5">
      <c r="A554" s="86"/>
      <c r="B554" s="91"/>
      <c r="C554" s="92"/>
      <c r="D554" s="82"/>
      <c r="E554" s="82"/>
      <c r="F554" s="96"/>
    </row>
    <row r="555" spans="1:6" ht="13.5">
      <c r="A555" s="86"/>
      <c r="B555" s="91"/>
      <c r="C555" s="92"/>
      <c r="D555" s="82"/>
      <c r="E555" s="82"/>
      <c r="F555" s="96"/>
    </row>
    <row r="556" spans="1:6" ht="13.5">
      <c r="A556" s="86"/>
      <c r="B556" s="91"/>
      <c r="C556" s="92"/>
      <c r="D556" s="82"/>
      <c r="E556" s="82"/>
      <c r="F556" s="96"/>
    </row>
    <row r="557" spans="1:6" ht="13.5">
      <c r="A557" s="86"/>
      <c r="B557" s="91"/>
      <c r="C557" s="92"/>
      <c r="D557" s="82"/>
      <c r="E557" s="82"/>
      <c r="F557" s="96"/>
    </row>
    <row r="558" spans="1:6" ht="13.5">
      <c r="A558" s="86"/>
      <c r="B558" s="91"/>
      <c r="C558" s="92"/>
      <c r="D558" s="82"/>
      <c r="E558" s="82"/>
      <c r="F558" s="96"/>
    </row>
    <row r="559" spans="1:6" ht="13.5">
      <c r="A559" s="86"/>
      <c r="B559" s="91"/>
      <c r="C559" s="92"/>
      <c r="D559" s="82"/>
      <c r="E559" s="82"/>
      <c r="F559" s="96"/>
    </row>
    <row r="560" spans="1:6" ht="13.5">
      <c r="A560" s="86"/>
      <c r="B560" s="91"/>
      <c r="C560" s="92"/>
      <c r="D560" s="82"/>
      <c r="E560" s="82"/>
      <c r="F560" s="96"/>
    </row>
    <row r="561" spans="1:6" ht="13.5">
      <c r="A561" s="86"/>
      <c r="B561" s="91"/>
      <c r="C561" s="92"/>
      <c r="D561" s="82"/>
      <c r="E561" s="82"/>
      <c r="F561" s="96"/>
    </row>
    <row r="562" spans="1:6" ht="13.5">
      <c r="A562" s="86"/>
      <c r="B562" s="91"/>
      <c r="C562" s="92"/>
      <c r="D562" s="82"/>
      <c r="E562" s="82"/>
      <c r="F562" s="96"/>
    </row>
    <row r="563" spans="1:6" ht="13.5">
      <c r="A563" s="86"/>
      <c r="B563" s="91"/>
      <c r="C563" s="92"/>
      <c r="D563" s="82"/>
      <c r="E563" s="82"/>
      <c r="F563" s="96"/>
    </row>
    <row r="564" spans="1:6" ht="13.5">
      <c r="A564" s="86"/>
      <c r="B564" s="91"/>
      <c r="C564" s="92"/>
      <c r="D564" s="82"/>
      <c r="E564" s="82"/>
      <c r="F564" s="96"/>
    </row>
    <row r="565" spans="1:6" ht="13.5">
      <c r="A565" s="86"/>
      <c r="B565" s="91"/>
      <c r="C565" s="92"/>
      <c r="D565" s="82"/>
      <c r="E565" s="82"/>
      <c r="F565" s="96"/>
    </row>
    <row r="566" spans="1:6" ht="13.5">
      <c r="A566" s="86"/>
      <c r="B566" s="91"/>
      <c r="C566" s="92"/>
      <c r="D566" s="82"/>
      <c r="E566" s="82"/>
      <c r="F566" s="96"/>
    </row>
    <row r="567" spans="1:6" ht="13.5">
      <c r="A567" s="86"/>
      <c r="B567" s="91"/>
      <c r="C567" s="92"/>
      <c r="D567" s="82"/>
      <c r="E567" s="82"/>
      <c r="F567" s="96"/>
    </row>
    <row r="568" spans="1:6" ht="13.5">
      <c r="A568" s="86"/>
      <c r="B568" s="91"/>
      <c r="C568" s="92"/>
      <c r="D568" s="82"/>
      <c r="E568" s="82"/>
      <c r="F568" s="96"/>
    </row>
    <row r="569" spans="1:6" ht="13.5">
      <c r="A569" s="86"/>
      <c r="B569" s="91"/>
      <c r="C569" s="92"/>
      <c r="D569" s="82"/>
      <c r="E569" s="82"/>
      <c r="F569" s="96"/>
    </row>
    <row r="570" spans="1:6" ht="13.5">
      <c r="A570" s="86"/>
      <c r="B570" s="91"/>
      <c r="C570" s="92"/>
      <c r="D570" s="82"/>
      <c r="E570" s="82"/>
      <c r="F570" s="96"/>
    </row>
    <row r="571" spans="1:6" ht="13.5">
      <c r="A571" s="86"/>
      <c r="B571" s="91"/>
      <c r="C571" s="92"/>
      <c r="D571" s="82"/>
      <c r="E571" s="82"/>
      <c r="F571" s="96"/>
    </row>
    <row r="572" spans="1:6" ht="13.5">
      <c r="A572" s="86"/>
      <c r="B572" s="91"/>
      <c r="C572" s="92"/>
      <c r="D572" s="82"/>
      <c r="E572" s="82"/>
      <c r="F572" s="96"/>
    </row>
    <row r="573" spans="1:6" ht="13.5">
      <c r="A573" s="86"/>
      <c r="B573" s="91"/>
      <c r="C573" s="92"/>
      <c r="D573" s="82"/>
      <c r="E573" s="82"/>
      <c r="F573" s="96"/>
    </row>
    <row r="574" spans="1:6" ht="13.5">
      <c r="A574" s="86"/>
      <c r="B574" s="91"/>
      <c r="C574" s="92"/>
      <c r="D574" s="82"/>
      <c r="E574" s="82"/>
      <c r="F574" s="96"/>
    </row>
    <row r="575" spans="1:6" ht="13.5">
      <c r="A575" s="86"/>
      <c r="B575" s="91"/>
      <c r="C575" s="92"/>
      <c r="D575" s="82"/>
      <c r="E575" s="82"/>
      <c r="F575" s="96"/>
    </row>
    <row r="576" spans="1:6" ht="13.5">
      <c r="A576" s="86"/>
      <c r="B576" s="91"/>
      <c r="C576" s="92"/>
      <c r="D576" s="82"/>
      <c r="E576" s="82"/>
      <c r="F576" s="96"/>
    </row>
    <row r="577" spans="1:6" ht="13.5">
      <c r="A577" s="86"/>
      <c r="B577" s="91"/>
      <c r="C577" s="92"/>
      <c r="D577" s="82"/>
      <c r="E577" s="82"/>
      <c r="F577" s="96"/>
    </row>
    <row r="578" spans="1:6" ht="13.5">
      <c r="A578" s="86"/>
      <c r="B578" s="91"/>
      <c r="C578" s="92"/>
      <c r="D578" s="82"/>
      <c r="E578" s="82"/>
      <c r="F578" s="96"/>
    </row>
    <row r="579" spans="1:6" ht="13.5">
      <c r="A579" s="86"/>
      <c r="B579" s="91"/>
      <c r="C579" s="92"/>
      <c r="D579" s="82"/>
      <c r="E579" s="82"/>
      <c r="F579" s="96"/>
    </row>
    <row r="580" spans="1:6" ht="13.5">
      <c r="A580" s="86"/>
      <c r="B580" s="91"/>
      <c r="C580" s="92"/>
      <c r="D580" s="82"/>
      <c r="E580" s="82"/>
      <c r="F580" s="96"/>
    </row>
    <row r="581" spans="1:6" ht="13.5">
      <c r="A581" s="86"/>
      <c r="B581" s="91"/>
      <c r="C581" s="92"/>
      <c r="D581" s="82"/>
      <c r="E581" s="82"/>
      <c r="F581" s="96"/>
    </row>
    <row r="582" spans="1:6" ht="13.5">
      <c r="A582" s="86"/>
      <c r="B582" s="91"/>
      <c r="C582" s="92"/>
      <c r="D582" s="82"/>
      <c r="E582" s="82"/>
      <c r="F582" s="96"/>
    </row>
    <row r="583" spans="1:6" ht="13.5">
      <c r="A583" s="86"/>
      <c r="B583" s="91"/>
      <c r="C583" s="92"/>
      <c r="D583" s="82"/>
      <c r="E583" s="82"/>
      <c r="F583" s="96"/>
    </row>
    <row r="584" spans="1:6" ht="13.5">
      <c r="A584" s="86"/>
      <c r="B584" s="91"/>
      <c r="C584" s="92"/>
      <c r="D584" s="82"/>
      <c r="E584" s="82"/>
      <c r="F584" s="96"/>
    </row>
    <row r="585" spans="1:6" ht="13.5">
      <c r="A585" s="86"/>
      <c r="B585" s="91"/>
      <c r="C585" s="92"/>
      <c r="D585" s="82"/>
      <c r="E585" s="82"/>
      <c r="F585" s="96"/>
    </row>
    <row r="586" spans="1:6" ht="13.5">
      <c r="A586" s="86"/>
      <c r="B586" s="91"/>
      <c r="C586" s="92"/>
      <c r="D586" s="82"/>
      <c r="E586" s="82"/>
      <c r="F586" s="96"/>
    </row>
    <row r="587" spans="1:6" ht="13.5">
      <c r="A587" s="86"/>
      <c r="B587" s="91"/>
      <c r="C587" s="92"/>
      <c r="D587" s="82"/>
      <c r="E587" s="82"/>
      <c r="F587" s="96"/>
    </row>
    <row r="588" spans="1:6" ht="13.5">
      <c r="A588" s="86"/>
      <c r="B588" s="91"/>
      <c r="C588" s="92"/>
      <c r="D588" s="82"/>
      <c r="E588" s="82"/>
      <c r="F588" s="96"/>
    </row>
    <row r="589" spans="1:6" ht="13.5">
      <c r="A589" s="86"/>
      <c r="B589" s="91"/>
      <c r="C589" s="92"/>
      <c r="D589" s="82"/>
      <c r="E589" s="82"/>
      <c r="F589" s="96"/>
    </row>
    <row r="590" spans="1:6" ht="13.5">
      <c r="A590" s="86"/>
      <c r="B590" s="91"/>
      <c r="C590" s="92"/>
      <c r="D590" s="82"/>
      <c r="E590" s="82"/>
      <c r="F590" s="96"/>
    </row>
    <row r="591" spans="1:6" ht="13.5">
      <c r="A591" s="86"/>
      <c r="B591" s="91"/>
      <c r="C591" s="92"/>
      <c r="D591" s="82"/>
      <c r="E591" s="82"/>
      <c r="F591" s="96"/>
    </row>
    <row r="592" spans="1:6" ht="13.5">
      <c r="A592" s="86"/>
      <c r="B592" s="91"/>
      <c r="C592" s="92"/>
      <c r="D592" s="82"/>
      <c r="E592" s="82"/>
      <c r="F592" s="96"/>
    </row>
    <row r="593" spans="1:6" ht="13.5">
      <c r="A593" s="86"/>
      <c r="B593" s="91"/>
      <c r="C593" s="92"/>
      <c r="D593" s="82"/>
      <c r="E593" s="82"/>
      <c r="F593" s="96"/>
    </row>
    <row r="594" spans="1:6" ht="13.5">
      <c r="A594" s="86"/>
      <c r="B594" s="91"/>
      <c r="C594" s="92"/>
      <c r="D594" s="82"/>
      <c r="E594" s="82"/>
      <c r="F594" s="96"/>
    </row>
    <row r="595" spans="1:6" ht="13.5">
      <c r="A595" s="86"/>
      <c r="B595" s="91"/>
      <c r="C595" s="92"/>
      <c r="D595" s="82"/>
      <c r="E595" s="82"/>
      <c r="F595" s="96"/>
    </row>
    <row r="596" spans="1:6" ht="13.5">
      <c r="A596" s="86"/>
      <c r="B596" s="91"/>
      <c r="C596" s="92"/>
      <c r="D596" s="82"/>
      <c r="E596" s="82"/>
      <c r="F596" s="96"/>
    </row>
    <row r="597" spans="1:6" ht="13.5">
      <c r="A597" s="86"/>
      <c r="B597" s="91"/>
      <c r="C597" s="92"/>
      <c r="D597" s="82"/>
      <c r="E597" s="82"/>
      <c r="F597" s="96"/>
    </row>
    <row r="598" spans="1:6" ht="13.5">
      <c r="A598" s="86"/>
      <c r="B598" s="91"/>
      <c r="C598" s="92"/>
      <c r="D598" s="82"/>
      <c r="E598" s="82"/>
      <c r="F598" s="96"/>
    </row>
    <row r="599" spans="1:6" ht="13.5">
      <c r="A599" s="86"/>
      <c r="B599" s="91"/>
      <c r="C599" s="92"/>
      <c r="D599" s="82"/>
      <c r="E599" s="82"/>
      <c r="F599" s="96"/>
    </row>
    <row r="600" spans="1:6" ht="13.5">
      <c r="A600" s="86"/>
      <c r="B600" s="91"/>
      <c r="C600" s="92"/>
      <c r="D600" s="82"/>
      <c r="E600" s="82"/>
      <c r="F600" s="96"/>
    </row>
    <row r="601" spans="1:6" ht="13.5">
      <c r="A601" s="86"/>
      <c r="B601" s="91"/>
      <c r="C601" s="92"/>
      <c r="D601" s="82"/>
      <c r="E601" s="82"/>
      <c r="F601" s="96"/>
    </row>
    <row r="602" spans="1:6" ht="13.5">
      <c r="A602" s="86"/>
      <c r="B602" s="91"/>
      <c r="C602" s="92"/>
      <c r="D602" s="82"/>
      <c r="E602" s="82"/>
      <c r="F602" s="96"/>
    </row>
    <row r="603" spans="1:6" ht="13.5">
      <c r="A603" s="86"/>
      <c r="B603" s="91"/>
      <c r="C603" s="92"/>
      <c r="D603" s="82"/>
      <c r="E603" s="82"/>
      <c r="F603" s="96"/>
    </row>
    <row r="604" spans="1:6" ht="13.5">
      <c r="A604" s="86"/>
      <c r="B604" s="91"/>
      <c r="C604" s="92"/>
      <c r="D604" s="82"/>
      <c r="E604" s="82"/>
      <c r="F604" s="96"/>
    </row>
    <row r="605" spans="1:6" ht="13.5">
      <c r="A605" s="86"/>
      <c r="B605" s="91"/>
      <c r="C605" s="92"/>
      <c r="D605" s="82"/>
      <c r="E605" s="82"/>
      <c r="F605" s="96"/>
    </row>
    <row r="606" spans="1:6" ht="13.5">
      <c r="A606" s="86"/>
      <c r="B606" s="91"/>
      <c r="C606" s="92"/>
      <c r="D606" s="82"/>
      <c r="E606" s="82"/>
      <c r="F606" s="96"/>
    </row>
    <row r="607" spans="1:6" ht="13.5">
      <c r="A607" s="86"/>
      <c r="B607" s="91"/>
      <c r="C607" s="92"/>
      <c r="D607" s="82"/>
      <c r="E607" s="82"/>
      <c r="F607" s="96"/>
    </row>
    <row r="608" spans="1:6" ht="13.5">
      <c r="A608" s="86"/>
      <c r="B608" s="91"/>
      <c r="C608" s="92"/>
      <c r="D608" s="82"/>
      <c r="E608" s="82"/>
      <c r="F608" s="96"/>
    </row>
    <row r="609" spans="1:6" ht="13.5">
      <c r="A609" s="86"/>
      <c r="B609" s="91"/>
      <c r="C609" s="92"/>
      <c r="D609" s="82"/>
      <c r="E609" s="82"/>
      <c r="F609" s="96"/>
    </row>
    <row r="610" spans="1:6" ht="13.5">
      <c r="A610" s="86"/>
      <c r="B610" s="91"/>
      <c r="C610" s="92"/>
      <c r="D610" s="82"/>
      <c r="E610" s="82"/>
      <c r="F610" s="96"/>
    </row>
    <row r="611" spans="1:6" ht="13.5">
      <c r="A611" s="86"/>
      <c r="B611" s="91"/>
      <c r="C611" s="92"/>
      <c r="D611" s="82"/>
      <c r="E611" s="82"/>
      <c r="F611" s="96"/>
    </row>
    <row r="612" spans="1:6" ht="13.5">
      <c r="A612" s="86"/>
      <c r="B612" s="91"/>
      <c r="C612" s="92"/>
      <c r="D612" s="82"/>
      <c r="E612" s="82"/>
      <c r="F612" s="96"/>
    </row>
    <row r="613" spans="1:6" ht="13.5">
      <c r="A613" s="86"/>
      <c r="B613" s="91"/>
      <c r="C613" s="92"/>
      <c r="D613" s="82"/>
      <c r="E613" s="82"/>
      <c r="F613" s="96"/>
    </row>
    <row r="614" spans="1:6" ht="13.5">
      <c r="A614" s="86"/>
      <c r="B614" s="91"/>
      <c r="C614" s="92"/>
      <c r="D614" s="82"/>
      <c r="E614" s="82"/>
      <c r="F614" s="96"/>
    </row>
    <row r="615" spans="1:6" ht="13.5">
      <c r="A615" s="86"/>
      <c r="B615" s="91"/>
      <c r="C615" s="92"/>
      <c r="D615" s="82"/>
      <c r="E615" s="82"/>
      <c r="F615" s="96"/>
    </row>
    <row r="616" spans="1:6" ht="13.5">
      <c r="A616" s="86"/>
      <c r="B616" s="91"/>
      <c r="C616" s="92"/>
      <c r="D616" s="82"/>
      <c r="E616" s="82"/>
      <c r="F616" s="96"/>
    </row>
    <row r="617" spans="1:6" ht="13.5">
      <c r="A617" s="86"/>
      <c r="B617" s="91"/>
      <c r="C617" s="92"/>
      <c r="D617" s="82"/>
      <c r="E617" s="82"/>
      <c r="F617" s="96"/>
    </row>
    <row r="618" spans="1:6" ht="13.5">
      <c r="A618" s="86"/>
      <c r="B618" s="91"/>
      <c r="C618" s="92"/>
      <c r="D618" s="82"/>
      <c r="E618" s="82"/>
      <c r="F618" s="96"/>
    </row>
    <row r="619" spans="1:6" ht="13.5">
      <c r="A619" s="86"/>
      <c r="B619" s="91"/>
      <c r="C619" s="92"/>
      <c r="D619" s="82"/>
      <c r="E619" s="82"/>
      <c r="F619" s="96"/>
    </row>
    <row r="620" spans="1:6" ht="13.5">
      <c r="A620" s="86"/>
      <c r="B620" s="91"/>
      <c r="C620" s="92"/>
      <c r="D620" s="82"/>
      <c r="E620" s="82"/>
      <c r="F620" s="96"/>
    </row>
    <row r="621" spans="1:6" ht="13.5">
      <c r="A621" s="86"/>
      <c r="B621" s="91"/>
      <c r="C621" s="92"/>
      <c r="D621" s="82"/>
      <c r="E621" s="82"/>
      <c r="F621" s="96"/>
    </row>
    <row r="622" spans="1:6" ht="13.5">
      <c r="A622" s="86"/>
      <c r="B622" s="91"/>
      <c r="C622" s="92"/>
      <c r="D622" s="82"/>
      <c r="E622" s="82"/>
      <c r="F622" s="96"/>
    </row>
    <row r="623" spans="1:6" ht="13.5">
      <c r="A623" s="86"/>
      <c r="B623" s="91"/>
      <c r="C623" s="92"/>
      <c r="D623" s="82"/>
      <c r="E623" s="82"/>
      <c r="F623" s="96"/>
    </row>
    <row r="624" spans="1:6" ht="13.5">
      <c r="A624" s="86"/>
      <c r="B624" s="91"/>
      <c r="C624" s="92"/>
      <c r="D624" s="82"/>
      <c r="E624" s="82"/>
      <c r="F624" s="96"/>
    </row>
    <row r="625" spans="1:6" ht="13.5">
      <c r="A625" s="86"/>
      <c r="B625" s="91"/>
      <c r="C625" s="92"/>
      <c r="D625" s="82"/>
      <c r="E625" s="82"/>
      <c r="F625" s="96"/>
    </row>
    <row r="626" spans="1:6" ht="13.5">
      <c r="A626" s="86"/>
      <c r="B626" s="91"/>
      <c r="C626" s="92"/>
      <c r="D626" s="82"/>
      <c r="E626" s="82"/>
      <c r="F626" s="96"/>
    </row>
    <row r="627" spans="1:6" ht="13.5">
      <c r="A627" s="86"/>
      <c r="B627" s="91"/>
      <c r="C627" s="92"/>
      <c r="D627" s="82"/>
      <c r="E627" s="82"/>
      <c r="F627" s="96"/>
    </row>
    <row r="628" spans="1:6" ht="13.5">
      <c r="A628" s="86"/>
      <c r="B628" s="91"/>
      <c r="C628" s="92"/>
      <c r="D628" s="82"/>
      <c r="E628" s="82"/>
      <c r="F628" s="96"/>
    </row>
    <row r="629" spans="1:6" ht="13.5">
      <c r="A629" s="86"/>
      <c r="B629" s="91"/>
      <c r="C629" s="92"/>
      <c r="D629" s="82"/>
      <c r="E629" s="82"/>
      <c r="F629" s="96"/>
    </row>
    <row r="630" spans="1:6" ht="13.5">
      <c r="A630" s="86"/>
      <c r="B630" s="91"/>
      <c r="C630" s="92"/>
      <c r="D630" s="82"/>
      <c r="E630" s="82"/>
      <c r="F630" s="96"/>
    </row>
    <row r="631" spans="1:6" ht="13.5">
      <c r="A631" s="86"/>
      <c r="B631" s="91"/>
      <c r="C631" s="92"/>
      <c r="D631" s="82"/>
      <c r="E631" s="82"/>
      <c r="F631" s="96"/>
    </row>
    <row r="632" spans="1:6" ht="13.5">
      <c r="A632" s="86"/>
      <c r="B632" s="91"/>
      <c r="C632" s="92"/>
      <c r="D632" s="82"/>
      <c r="E632" s="82"/>
      <c r="F632" s="96"/>
    </row>
    <row r="633" spans="1:6" ht="13.5">
      <c r="A633" s="86"/>
      <c r="B633" s="91"/>
      <c r="C633" s="92"/>
      <c r="D633" s="82"/>
      <c r="E633" s="82"/>
      <c r="F633" s="96"/>
    </row>
    <row r="634" spans="1:6" ht="13.5">
      <c r="A634" s="86"/>
      <c r="B634" s="91"/>
      <c r="C634" s="92"/>
      <c r="D634" s="82"/>
      <c r="E634" s="82"/>
      <c r="F634" s="96"/>
    </row>
    <row r="635" spans="1:6" ht="13.5">
      <c r="A635" s="86"/>
      <c r="B635" s="91"/>
      <c r="C635" s="92"/>
      <c r="D635" s="82"/>
      <c r="E635" s="82"/>
      <c r="F635" s="96"/>
    </row>
    <row r="636" spans="1:6" ht="13.5">
      <c r="A636" s="86"/>
      <c r="B636" s="91"/>
      <c r="C636" s="92"/>
      <c r="D636" s="82"/>
      <c r="E636" s="82"/>
      <c r="F636" s="96"/>
    </row>
    <row r="637" spans="1:6" ht="13.5">
      <c r="A637" s="86"/>
      <c r="B637" s="91"/>
      <c r="C637" s="92"/>
      <c r="D637" s="82"/>
      <c r="E637" s="82"/>
      <c r="F637" s="96"/>
    </row>
    <row r="638" spans="1:6" ht="13.5">
      <c r="A638" s="86"/>
      <c r="B638" s="91"/>
      <c r="C638" s="92"/>
      <c r="D638" s="82"/>
      <c r="E638" s="82"/>
      <c r="F638" s="96"/>
    </row>
    <row r="639" spans="1:6" ht="13.5">
      <c r="A639" s="86"/>
      <c r="B639" s="91"/>
      <c r="C639" s="92"/>
      <c r="D639" s="82"/>
      <c r="E639" s="82"/>
      <c r="F639" s="96"/>
    </row>
    <row r="640" spans="1:6" ht="13.5">
      <c r="A640" s="86"/>
      <c r="B640" s="91"/>
      <c r="C640" s="92"/>
      <c r="D640" s="82"/>
      <c r="E640" s="82"/>
      <c r="F640" s="96"/>
    </row>
    <row r="641" spans="1:6" ht="13.5">
      <c r="A641" s="86"/>
      <c r="B641" s="91"/>
      <c r="C641" s="92"/>
      <c r="D641" s="82"/>
      <c r="E641" s="82"/>
      <c r="F641" s="96"/>
    </row>
    <row r="642" spans="1:6" ht="13.5">
      <c r="A642" s="86"/>
      <c r="B642" s="91"/>
      <c r="C642" s="92"/>
      <c r="D642" s="82"/>
      <c r="E642" s="82"/>
      <c r="F642" s="96"/>
    </row>
    <row r="643" spans="1:6" ht="13.5">
      <c r="A643" s="86"/>
      <c r="B643" s="91"/>
      <c r="C643" s="92"/>
      <c r="D643" s="82"/>
      <c r="E643" s="82"/>
      <c r="F643" s="96"/>
    </row>
    <row r="644" spans="1:6" ht="13.5">
      <c r="A644" s="86"/>
      <c r="B644" s="91"/>
      <c r="C644" s="92"/>
      <c r="D644" s="82"/>
      <c r="E644" s="82"/>
      <c r="F644" s="96"/>
    </row>
    <row r="645" spans="1:6" ht="13.5">
      <c r="A645" s="86"/>
      <c r="B645" s="91"/>
      <c r="C645" s="92"/>
      <c r="D645" s="82"/>
      <c r="E645" s="82"/>
      <c r="F645" s="96"/>
    </row>
    <row r="646" spans="1:6" ht="13.5">
      <c r="A646" s="86"/>
      <c r="B646" s="91"/>
      <c r="C646" s="92"/>
      <c r="D646" s="82"/>
      <c r="E646" s="82"/>
      <c r="F646" s="96"/>
    </row>
    <row r="647" spans="1:6" ht="13.5">
      <c r="A647" s="86"/>
      <c r="B647" s="91"/>
      <c r="C647" s="92"/>
      <c r="D647" s="82"/>
      <c r="E647" s="82"/>
      <c r="F647" s="96"/>
    </row>
    <row r="648" spans="1:6" ht="13.5">
      <c r="A648" s="86"/>
      <c r="B648" s="91"/>
      <c r="C648" s="92"/>
      <c r="D648" s="82"/>
      <c r="E648" s="82"/>
      <c r="F648" s="96"/>
    </row>
    <row r="649" spans="1:6" ht="13.5">
      <c r="A649" s="86"/>
      <c r="B649" s="91"/>
      <c r="C649" s="92"/>
      <c r="D649" s="82"/>
      <c r="E649" s="82"/>
      <c r="F649" s="96"/>
    </row>
    <row r="650" spans="1:6" ht="13.5">
      <c r="A650" s="86"/>
      <c r="B650" s="91"/>
      <c r="C650" s="92"/>
      <c r="D650" s="82"/>
      <c r="E650" s="82"/>
      <c r="F650" s="96"/>
    </row>
    <row r="651" spans="1:6" ht="13.5">
      <c r="A651" s="86"/>
      <c r="B651" s="91"/>
      <c r="C651" s="92"/>
      <c r="D651" s="82"/>
      <c r="E651" s="82"/>
      <c r="F651" s="96"/>
    </row>
    <row r="652" spans="1:6" ht="13.5">
      <c r="A652" s="86"/>
      <c r="B652" s="91"/>
      <c r="C652" s="92"/>
      <c r="D652" s="82"/>
      <c r="E652" s="82"/>
      <c r="F652" s="96"/>
    </row>
    <row r="653" spans="1:6" ht="13.5">
      <c r="A653" s="86"/>
      <c r="B653" s="91"/>
      <c r="C653" s="92"/>
      <c r="D653" s="82"/>
      <c r="E653" s="82"/>
      <c r="F653" s="96"/>
    </row>
    <row r="654" spans="1:6" ht="13.5">
      <c r="A654" s="86"/>
      <c r="B654" s="91"/>
      <c r="C654" s="92"/>
      <c r="D654" s="82"/>
      <c r="E654" s="82"/>
      <c r="F654" s="96"/>
    </row>
    <row r="655" spans="1:6" ht="13.5">
      <c r="A655" s="86"/>
      <c r="B655" s="91"/>
      <c r="C655" s="92"/>
      <c r="D655" s="82"/>
      <c r="E655" s="82"/>
      <c r="F655" s="96"/>
    </row>
    <row r="656" spans="1:6" ht="13.5">
      <c r="A656" s="86"/>
      <c r="B656" s="91"/>
      <c r="C656" s="92"/>
      <c r="D656" s="82"/>
      <c r="E656" s="82"/>
      <c r="F656" s="96"/>
    </row>
    <row r="657" spans="1:6" ht="13.5">
      <c r="A657" s="86"/>
      <c r="B657" s="91"/>
      <c r="C657" s="92"/>
      <c r="D657" s="82"/>
      <c r="E657" s="82"/>
      <c r="F657" s="96"/>
    </row>
    <row r="658" spans="1:6" ht="13.5">
      <c r="A658" s="86"/>
      <c r="B658" s="91"/>
      <c r="C658" s="92"/>
      <c r="D658" s="82"/>
      <c r="E658" s="82"/>
      <c r="F658" s="96"/>
    </row>
    <row r="659" spans="1:6" ht="13.5">
      <c r="A659" s="86"/>
      <c r="B659" s="91"/>
      <c r="C659" s="92"/>
      <c r="D659" s="82"/>
      <c r="E659" s="82"/>
      <c r="F659" s="96"/>
    </row>
    <row r="660" spans="1:6" ht="13.5">
      <c r="A660" s="86"/>
      <c r="B660" s="91"/>
      <c r="C660" s="92"/>
      <c r="D660" s="82"/>
      <c r="E660" s="82"/>
      <c r="F660" s="96"/>
    </row>
    <row r="661" spans="1:6" ht="13.5">
      <c r="A661" s="86"/>
      <c r="B661" s="91"/>
      <c r="C661" s="92"/>
      <c r="D661" s="82"/>
      <c r="E661" s="82"/>
      <c r="F661" s="96"/>
    </row>
    <row r="662" spans="1:6" ht="13.5">
      <c r="A662" s="86"/>
      <c r="B662" s="91"/>
      <c r="C662" s="92"/>
      <c r="D662" s="82"/>
      <c r="E662" s="82"/>
      <c r="F662" s="96"/>
    </row>
    <row r="663" spans="1:6" ht="13.5">
      <c r="A663" s="86"/>
      <c r="B663" s="91"/>
      <c r="C663" s="92"/>
      <c r="D663" s="82"/>
      <c r="E663" s="82"/>
      <c r="F663" s="96"/>
    </row>
    <row r="664" spans="1:6" ht="13.5">
      <c r="A664" s="86"/>
      <c r="B664" s="91"/>
      <c r="C664" s="92"/>
      <c r="D664" s="82"/>
      <c r="E664" s="82"/>
      <c r="F664" s="96"/>
    </row>
    <row r="665" spans="1:6" ht="13.5">
      <c r="A665" s="86"/>
      <c r="B665" s="91"/>
      <c r="C665" s="92"/>
      <c r="D665" s="82"/>
      <c r="E665" s="82"/>
      <c r="F665" s="96"/>
    </row>
    <row r="666" spans="1:6" ht="13.5">
      <c r="A666" s="86"/>
      <c r="B666" s="91"/>
      <c r="C666" s="92"/>
      <c r="D666" s="82"/>
      <c r="E666" s="82"/>
      <c r="F666" s="96"/>
    </row>
    <row r="667" spans="1:6" ht="13.5">
      <c r="A667" s="86"/>
      <c r="B667" s="91"/>
      <c r="C667" s="92"/>
      <c r="D667" s="82"/>
      <c r="E667" s="82"/>
      <c r="F667" s="96"/>
    </row>
    <row r="668" spans="1:6" ht="13.5">
      <c r="A668" s="86"/>
      <c r="B668" s="91"/>
      <c r="C668" s="92"/>
      <c r="D668" s="82"/>
      <c r="E668" s="82"/>
      <c r="F668" s="96"/>
    </row>
    <row r="669" spans="1:6" ht="13.5">
      <c r="A669" s="86"/>
      <c r="B669" s="91"/>
      <c r="C669" s="92"/>
      <c r="D669" s="82"/>
      <c r="E669" s="82"/>
      <c r="F669" s="96"/>
    </row>
    <row r="670" spans="1:6" ht="13.5">
      <c r="A670" s="86"/>
      <c r="B670" s="91"/>
      <c r="C670" s="92"/>
      <c r="D670" s="82"/>
      <c r="E670" s="82"/>
      <c r="F670" s="96"/>
    </row>
    <row r="671" spans="1:6" ht="13.5">
      <c r="A671" s="86"/>
      <c r="B671" s="91"/>
      <c r="C671" s="92"/>
      <c r="D671" s="82"/>
      <c r="E671" s="82"/>
      <c r="F671" s="96"/>
    </row>
    <row r="672" spans="1:6" ht="13.5">
      <c r="A672" s="86"/>
      <c r="B672" s="91"/>
      <c r="C672" s="92"/>
      <c r="D672" s="82"/>
      <c r="E672" s="82"/>
      <c r="F672" s="96"/>
    </row>
    <row r="673" spans="1:6" ht="13.5">
      <c r="A673" s="86"/>
      <c r="B673" s="91"/>
      <c r="C673" s="92"/>
      <c r="D673" s="82"/>
      <c r="E673" s="82"/>
      <c r="F673" s="96"/>
    </row>
    <row r="674" spans="1:6" ht="13.5">
      <c r="A674" s="86"/>
      <c r="B674" s="91"/>
      <c r="C674" s="92"/>
      <c r="D674" s="82"/>
      <c r="E674" s="82"/>
      <c r="F674" s="96"/>
    </row>
    <row r="675" spans="1:6" ht="13.5">
      <c r="A675" s="86"/>
      <c r="B675" s="91"/>
      <c r="C675" s="92"/>
      <c r="D675" s="82"/>
      <c r="E675" s="82"/>
      <c r="F675" s="96"/>
    </row>
    <row r="676" spans="1:6" ht="13.5">
      <c r="A676" s="86"/>
      <c r="B676" s="91"/>
      <c r="C676" s="92"/>
      <c r="D676" s="82"/>
      <c r="E676" s="82"/>
      <c r="F676" s="96"/>
    </row>
    <row r="677" spans="1:6" ht="13.5">
      <c r="A677" s="86"/>
      <c r="B677" s="91"/>
      <c r="C677" s="92"/>
      <c r="D677" s="82"/>
      <c r="E677" s="82"/>
      <c r="F677" s="96"/>
    </row>
    <row r="678" spans="1:6" ht="13.5">
      <c r="A678" s="86"/>
      <c r="B678" s="91"/>
      <c r="C678" s="92"/>
      <c r="D678" s="82"/>
      <c r="E678" s="82"/>
      <c r="F678" s="96"/>
    </row>
    <row r="679" spans="1:6" ht="13.5">
      <c r="A679" s="86"/>
      <c r="B679" s="91"/>
      <c r="C679" s="92"/>
      <c r="D679" s="82"/>
      <c r="E679" s="82"/>
      <c r="F679" s="96"/>
    </row>
    <row r="680" spans="1:6" ht="13.5">
      <c r="A680" s="86"/>
      <c r="B680" s="91"/>
      <c r="C680" s="92"/>
      <c r="D680" s="82"/>
      <c r="E680" s="82"/>
      <c r="F680" s="96"/>
    </row>
    <row r="681" spans="1:6" ht="13.5">
      <c r="A681" s="86"/>
      <c r="B681" s="91"/>
      <c r="C681" s="92"/>
      <c r="D681" s="82"/>
      <c r="E681" s="82"/>
      <c r="F681" s="96"/>
    </row>
    <row r="682" spans="1:6" ht="13.5">
      <c r="A682" s="86"/>
      <c r="B682" s="91"/>
      <c r="C682" s="92"/>
      <c r="D682" s="82"/>
      <c r="E682" s="82"/>
      <c r="F682" s="96"/>
    </row>
    <row r="683" spans="1:6" ht="13.5">
      <c r="A683" s="86"/>
      <c r="B683" s="91"/>
      <c r="C683" s="92"/>
      <c r="D683" s="82"/>
      <c r="E683" s="82"/>
      <c r="F683" s="96"/>
    </row>
    <row r="684" spans="1:6" ht="13.5">
      <c r="A684" s="86"/>
      <c r="B684" s="91"/>
      <c r="C684" s="92"/>
      <c r="D684" s="82"/>
      <c r="E684" s="82"/>
      <c r="F684" s="96"/>
    </row>
    <row r="685" spans="1:6" ht="13.5">
      <c r="A685" s="86"/>
      <c r="B685" s="91"/>
      <c r="C685" s="92"/>
      <c r="D685" s="82"/>
      <c r="E685" s="82"/>
      <c r="F685" s="96"/>
    </row>
    <row r="686" spans="1:6" ht="13.5">
      <c r="A686" s="86"/>
      <c r="B686" s="91"/>
      <c r="C686" s="92"/>
      <c r="D686" s="82"/>
      <c r="E686" s="82"/>
      <c r="F686" s="96"/>
    </row>
    <row r="687" spans="1:6" ht="13.5">
      <c r="A687" s="86"/>
      <c r="B687" s="91"/>
      <c r="C687" s="92"/>
      <c r="D687" s="82"/>
      <c r="E687" s="82"/>
      <c r="F687" s="96"/>
    </row>
    <row r="688" spans="1:6" ht="13.5">
      <c r="A688" s="86"/>
      <c r="B688" s="91"/>
      <c r="C688" s="92"/>
      <c r="D688" s="82"/>
      <c r="E688" s="82"/>
      <c r="F688" s="96"/>
    </row>
    <row r="689" spans="1:6" ht="13.5">
      <c r="A689" s="86"/>
      <c r="B689" s="91"/>
      <c r="C689" s="92"/>
      <c r="D689" s="82"/>
      <c r="E689" s="82"/>
      <c r="F689" s="96"/>
    </row>
    <row r="690" spans="1:6" ht="13.5">
      <c r="A690" s="86"/>
      <c r="B690" s="91"/>
      <c r="C690" s="92"/>
      <c r="D690" s="82"/>
      <c r="E690" s="82"/>
      <c r="F690" s="96"/>
    </row>
    <row r="691" spans="1:6" ht="13.5">
      <c r="A691" s="86"/>
      <c r="B691" s="91"/>
      <c r="C691" s="92"/>
      <c r="D691" s="82"/>
      <c r="E691" s="82"/>
      <c r="F691" s="96"/>
    </row>
    <row r="692" spans="1:6" ht="13.5">
      <c r="A692" s="86"/>
      <c r="B692" s="91"/>
      <c r="C692" s="92"/>
      <c r="D692" s="82"/>
      <c r="E692" s="82"/>
      <c r="F692" s="96"/>
    </row>
    <row r="693" spans="1:6" ht="13.5">
      <c r="A693" s="86"/>
      <c r="B693" s="91"/>
      <c r="C693" s="92"/>
      <c r="D693" s="82"/>
      <c r="E693" s="82"/>
      <c r="F693" s="96"/>
    </row>
    <row r="694" spans="1:6" ht="13.5">
      <c r="A694" s="86"/>
      <c r="B694" s="91"/>
      <c r="C694" s="92"/>
      <c r="D694" s="82"/>
      <c r="E694" s="82"/>
      <c r="F694" s="96"/>
    </row>
    <row r="695" spans="1:6" ht="13.5">
      <c r="A695" s="86"/>
      <c r="B695" s="91"/>
      <c r="C695" s="92"/>
      <c r="D695" s="82"/>
      <c r="E695" s="82"/>
      <c r="F695" s="96"/>
    </row>
    <row r="696" spans="1:6" ht="13.5">
      <c r="A696" s="86"/>
      <c r="B696" s="91"/>
      <c r="C696" s="92"/>
      <c r="D696" s="82"/>
      <c r="E696" s="82"/>
      <c r="F696" s="96"/>
    </row>
    <row r="697" spans="1:6" ht="13.5">
      <c r="A697" s="86"/>
      <c r="B697" s="91"/>
      <c r="C697" s="92"/>
      <c r="D697" s="82"/>
      <c r="E697" s="82"/>
      <c r="F697" s="96"/>
    </row>
    <row r="698" spans="1:6" ht="13.5">
      <c r="A698" s="86"/>
      <c r="B698" s="91"/>
      <c r="C698" s="92"/>
      <c r="D698" s="82"/>
      <c r="E698" s="82"/>
      <c r="F698" s="96"/>
    </row>
    <row r="699" spans="1:6" ht="13.5">
      <c r="A699" s="86"/>
      <c r="B699" s="91"/>
      <c r="C699" s="92"/>
      <c r="D699" s="82"/>
      <c r="E699" s="82"/>
      <c r="F699" s="96"/>
    </row>
    <row r="700" spans="1:6" ht="13.5">
      <c r="A700" s="86"/>
      <c r="B700" s="91"/>
      <c r="C700" s="92"/>
      <c r="D700" s="82"/>
      <c r="E700" s="82"/>
      <c r="F700" s="96"/>
    </row>
    <row r="701" spans="1:6" ht="13.5">
      <c r="A701" s="86"/>
      <c r="B701" s="91"/>
      <c r="C701" s="92"/>
      <c r="D701" s="82"/>
      <c r="E701" s="82"/>
      <c r="F701" s="96"/>
    </row>
    <row r="702" spans="1:6" ht="13.5">
      <c r="A702" s="86"/>
      <c r="B702" s="91"/>
      <c r="C702" s="92"/>
      <c r="D702" s="82"/>
      <c r="E702" s="82"/>
      <c r="F702" s="96"/>
    </row>
    <row r="703" spans="1:6" ht="13.5">
      <c r="A703" s="86"/>
      <c r="B703" s="91"/>
      <c r="C703" s="92"/>
      <c r="D703" s="82"/>
      <c r="E703" s="82"/>
      <c r="F703" s="96"/>
    </row>
    <row r="704" spans="1:6" ht="13.5">
      <c r="A704" s="86"/>
      <c r="B704" s="91"/>
      <c r="C704" s="92"/>
      <c r="D704" s="82"/>
      <c r="E704" s="82"/>
      <c r="F704" s="96"/>
    </row>
    <row r="705" spans="1:6" ht="13.5">
      <c r="A705" s="86"/>
      <c r="B705" s="91"/>
      <c r="C705" s="92"/>
      <c r="D705" s="82"/>
      <c r="E705" s="82"/>
      <c r="F705" s="96"/>
    </row>
    <row r="706" spans="1:6" ht="13.5">
      <c r="A706" s="86"/>
      <c r="B706" s="91"/>
      <c r="C706" s="92"/>
      <c r="D706" s="82"/>
      <c r="E706" s="82"/>
      <c r="F706" s="96"/>
    </row>
    <row r="707" spans="1:6" ht="13.5">
      <c r="A707" s="86"/>
      <c r="B707" s="91"/>
      <c r="C707" s="92"/>
      <c r="D707" s="82"/>
      <c r="E707" s="82"/>
      <c r="F707" s="96"/>
    </row>
    <row r="708" spans="1:6" ht="13.5">
      <c r="A708" s="86"/>
      <c r="B708" s="91"/>
      <c r="C708" s="92"/>
      <c r="D708" s="82"/>
      <c r="E708" s="82"/>
      <c r="F708" s="96"/>
    </row>
    <row r="709" spans="1:6" ht="13.5">
      <c r="A709" s="86"/>
      <c r="B709" s="91"/>
      <c r="C709" s="92"/>
      <c r="D709" s="82"/>
      <c r="E709" s="82"/>
      <c r="F709" s="96"/>
    </row>
    <row r="710" spans="1:6" ht="13.5">
      <c r="A710" s="86"/>
      <c r="B710" s="91"/>
      <c r="C710" s="92"/>
      <c r="D710" s="82"/>
      <c r="E710" s="82"/>
      <c r="F710" s="96"/>
    </row>
    <row r="711" spans="1:6" ht="13.5">
      <c r="A711" s="86"/>
      <c r="B711" s="91"/>
      <c r="C711" s="92"/>
      <c r="D711" s="82"/>
      <c r="E711" s="82"/>
      <c r="F711" s="96"/>
    </row>
    <row r="712" spans="1:6" ht="13.5">
      <c r="A712" s="86"/>
      <c r="B712" s="91"/>
      <c r="C712" s="92"/>
      <c r="D712" s="82"/>
      <c r="E712" s="82"/>
      <c r="F712" s="96"/>
    </row>
    <row r="713" spans="1:6" ht="13.5">
      <c r="A713" s="86"/>
      <c r="B713" s="91"/>
      <c r="C713" s="92"/>
      <c r="D713" s="82"/>
      <c r="E713" s="82"/>
      <c r="F713" s="96"/>
    </row>
    <row r="714" spans="1:6" ht="13.5">
      <c r="A714" s="86"/>
      <c r="B714" s="91"/>
      <c r="C714" s="92"/>
      <c r="D714" s="82"/>
      <c r="E714" s="82"/>
      <c r="F714" s="96"/>
    </row>
    <row r="715" spans="1:6" ht="13.5">
      <c r="A715" s="86"/>
      <c r="B715" s="91"/>
      <c r="C715" s="92"/>
      <c r="D715" s="82"/>
      <c r="E715" s="82"/>
      <c r="F715" s="96"/>
    </row>
    <row r="716" spans="1:6" ht="13.5">
      <c r="A716" s="86"/>
      <c r="B716" s="91"/>
      <c r="C716" s="92"/>
      <c r="D716" s="82"/>
      <c r="E716" s="82"/>
      <c r="F716" s="96"/>
    </row>
    <row r="717" spans="1:6" ht="13.5">
      <c r="A717" s="86"/>
      <c r="B717" s="91"/>
      <c r="C717" s="92"/>
      <c r="D717" s="82"/>
      <c r="E717" s="82"/>
      <c r="F717" s="96"/>
    </row>
    <row r="718" spans="1:6" ht="13.5">
      <c r="A718" s="86"/>
      <c r="B718" s="91"/>
      <c r="C718" s="92"/>
      <c r="D718" s="82"/>
      <c r="E718" s="82"/>
      <c r="F718" s="96"/>
    </row>
    <row r="719" spans="1:6" ht="13.5">
      <c r="A719" s="86"/>
      <c r="B719" s="91"/>
      <c r="C719" s="92"/>
      <c r="D719" s="82"/>
      <c r="E719" s="82"/>
      <c r="F719" s="96"/>
    </row>
    <row r="720" spans="1:6" ht="13.5">
      <c r="A720" s="86"/>
      <c r="B720" s="91"/>
      <c r="C720" s="92"/>
      <c r="D720" s="82"/>
      <c r="E720" s="82"/>
      <c r="F720" s="96"/>
    </row>
    <row r="721" spans="1:6" ht="13.5">
      <c r="A721" s="86"/>
      <c r="B721" s="91"/>
      <c r="C721" s="92"/>
      <c r="D721" s="82"/>
      <c r="E721" s="82"/>
      <c r="F721" s="96"/>
    </row>
    <row r="722" spans="1:6" ht="13.5">
      <c r="A722" s="86"/>
      <c r="B722" s="91"/>
      <c r="C722" s="92"/>
      <c r="D722" s="82"/>
      <c r="E722" s="82"/>
      <c r="F722" s="96"/>
    </row>
    <row r="723" spans="1:6" ht="13.5">
      <c r="A723" s="86"/>
      <c r="B723" s="91"/>
      <c r="C723" s="92"/>
      <c r="D723" s="82"/>
      <c r="E723" s="82"/>
      <c r="F723" s="96"/>
    </row>
    <row r="724" spans="1:6" ht="13.5">
      <c r="A724" s="86"/>
      <c r="B724" s="91"/>
      <c r="C724" s="92"/>
      <c r="D724" s="82"/>
      <c r="E724" s="82"/>
      <c r="F724" s="96"/>
    </row>
    <row r="725" spans="1:6" ht="13.5">
      <c r="A725" s="86"/>
      <c r="B725" s="91"/>
      <c r="C725" s="92"/>
      <c r="D725" s="82"/>
      <c r="E725" s="82"/>
      <c r="F725" s="96"/>
    </row>
    <row r="726" spans="1:6" ht="13.5">
      <c r="A726" s="86"/>
      <c r="B726" s="91"/>
      <c r="C726" s="92"/>
      <c r="D726" s="82"/>
      <c r="E726" s="82"/>
      <c r="F726" s="96"/>
    </row>
    <row r="727" spans="1:6" ht="13.5">
      <c r="A727" s="86"/>
      <c r="B727" s="91"/>
      <c r="C727" s="92"/>
      <c r="D727" s="82"/>
      <c r="E727" s="82"/>
      <c r="F727" s="96"/>
    </row>
    <row r="728" spans="1:6" ht="13.5">
      <c r="A728" s="86"/>
      <c r="B728" s="91"/>
      <c r="C728" s="92"/>
      <c r="D728" s="82"/>
      <c r="E728" s="82"/>
      <c r="F728" s="96"/>
    </row>
    <row r="729" spans="1:6" ht="13.5">
      <c r="A729" s="86"/>
      <c r="B729" s="91"/>
      <c r="C729" s="92"/>
      <c r="D729" s="82"/>
      <c r="E729" s="82"/>
      <c r="F729" s="96"/>
    </row>
    <row r="730" spans="1:6" ht="13.5">
      <c r="A730" s="86"/>
      <c r="B730" s="91"/>
      <c r="C730" s="92"/>
      <c r="D730" s="82"/>
      <c r="E730" s="82"/>
      <c r="F730" s="96"/>
    </row>
    <row r="731" spans="1:6" ht="13.5">
      <c r="A731" s="86"/>
      <c r="B731" s="91"/>
      <c r="C731" s="92"/>
      <c r="D731" s="82"/>
      <c r="E731" s="82"/>
      <c r="F731" s="96"/>
    </row>
    <row r="732" spans="1:6" ht="13.5">
      <c r="A732" s="86"/>
      <c r="B732" s="91"/>
      <c r="C732" s="92"/>
      <c r="D732" s="82"/>
      <c r="E732" s="82"/>
      <c r="F732" s="96"/>
    </row>
    <row r="733" spans="1:6" ht="13.5">
      <c r="A733" s="86"/>
      <c r="B733" s="91"/>
      <c r="C733" s="92"/>
      <c r="D733" s="82"/>
      <c r="E733" s="82"/>
      <c r="F733" s="96"/>
    </row>
    <row r="734" spans="1:6" ht="13.5">
      <c r="A734" s="86"/>
      <c r="B734" s="91"/>
      <c r="C734" s="92"/>
      <c r="D734" s="82"/>
      <c r="E734" s="82"/>
      <c r="F734" s="96"/>
    </row>
    <row r="735" spans="1:6" ht="13.5">
      <c r="A735" s="86"/>
      <c r="B735" s="91"/>
      <c r="C735" s="92"/>
      <c r="D735" s="82"/>
      <c r="E735" s="82"/>
      <c r="F735" s="96"/>
    </row>
    <row r="736" spans="1:6" ht="13.5">
      <c r="A736" s="86"/>
      <c r="B736" s="91"/>
      <c r="C736" s="92"/>
      <c r="D736" s="82"/>
      <c r="E736" s="82"/>
      <c r="F736" s="96"/>
    </row>
    <row r="737" spans="1:6" ht="13.5">
      <c r="A737" s="86"/>
      <c r="B737" s="91"/>
      <c r="C737" s="92"/>
      <c r="D737" s="82"/>
      <c r="E737" s="82"/>
      <c r="F737" s="96"/>
    </row>
    <row r="738" spans="1:6" ht="13.5">
      <c r="A738" s="86"/>
      <c r="B738" s="91"/>
      <c r="C738" s="92"/>
      <c r="D738" s="82"/>
      <c r="E738" s="82"/>
      <c r="F738" s="96"/>
    </row>
    <row r="739" spans="1:6" ht="13.5">
      <c r="A739" s="86"/>
      <c r="B739" s="91"/>
      <c r="C739" s="92"/>
      <c r="D739" s="82"/>
      <c r="E739" s="82"/>
      <c r="F739" s="96"/>
    </row>
    <row r="740" spans="1:6" ht="13.5">
      <c r="A740" s="86"/>
      <c r="B740" s="91"/>
      <c r="C740" s="92"/>
      <c r="D740" s="82"/>
      <c r="E740" s="82"/>
      <c r="F740" s="96"/>
    </row>
    <row r="741" spans="1:6" ht="13.5">
      <c r="A741" s="86"/>
      <c r="B741" s="91"/>
      <c r="C741" s="92"/>
      <c r="D741" s="82"/>
      <c r="E741" s="82"/>
      <c r="F741" s="96"/>
    </row>
    <row r="742" spans="1:6" ht="13.5">
      <c r="A742" s="86"/>
      <c r="B742" s="91"/>
      <c r="C742" s="92"/>
      <c r="D742" s="82"/>
      <c r="E742" s="82"/>
      <c r="F742" s="96"/>
    </row>
    <row r="743" spans="1:6" ht="13.5">
      <c r="A743" s="86"/>
      <c r="B743" s="91"/>
      <c r="C743" s="92"/>
      <c r="D743" s="82"/>
      <c r="E743" s="82"/>
      <c r="F743" s="96"/>
    </row>
    <row r="744" spans="1:6" ht="13.5">
      <c r="A744" s="86"/>
      <c r="B744" s="91"/>
      <c r="C744" s="92"/>
      <c r="D744" s="82"/>
      <c r="E744" s="82"/>
      <c r="F744" s="96"/>
    </row>
    <row r="745" spans="1:6" ht="13.5">
      <c r="A745" s="86"/>
      <c r="B745" s="91"/>
      <c r="C745" s="92"/>
      <c r="D745" s="82"/>
      <c r="E745" s="82"/>
      <c r="F745" s="96"/>
    </row>
    <row r="746" spans="1:6" ht="13.5">
      <c r="A746" s="86"/>
      <c r="B746" s="91"/>
      <c r="C746" s="92"/>
      <c r="D746" s="82"/>
      <c r="E746" s="82"/>
      <c r="F746" s="96"/>
    </row>
    <row r="747" spans="1:6" ht="13.5">
      <c r="A747" s="86"/>
      <c r="B747" s="91"/>
      <c r="C747" s="92"/>
      <c r="D747" s="82"/>
      <c r="E747" s="82"/>
      <c r="F747" s="96"/>
    </row>
    <row r="748" spans="1:6" ht="13.5">
      <c r="A748" s="86"/>
      <c r="B748" s="91"/>
      <c r="C748" s="92"/>
      <c r="D748" s="82"/>
      <c r="E748" s="82"/>
      <c r="F748" s="96"/>
    </row>
    <row r="749" spans="1:6" ht="13.5">
      <c r="A749" s="86"/>
      <c r="B749" s="91"/>
      <c r="C749" s="92"/>
      <c r="D749" s="82"/>
      <c r="E749" s="82"/>
      <c r="F749" s="96"/>
    </row>
    <row r="750" spans="1:6" ht="13.5">
      <c r="A750" s="86"/>
      <c r="B750" s="91"/>
      <c r="C750" s="92"/>
      <c r="D750" s="82"/>
      <c r="E750" s="82"/>
      <c r="F750" s="96"/>
    </row>
    <row r="751" spans="1:6" ht="13.5">
      <c r="A751" s="86"/>
      <c r="B751" s="91"/>
      <c r="C751" s="92"/>
      <c r="D751" s="82"/>
      <c r="E751" s="82"/>
      <c r="F751" s="96"/>
    </row>
    <row r="752" spans="1:6" ht="13.5">
      <c r="A752" s="86"/>
      <c r="B752" s="91"/>
      <c r="C752" s="92"/>
      <c r="D752" s="82"/>
      <c r="E752" s="82"/>
      <c r="F752" s="96"/>
    </row>
    <row r="753" spans="1:6" ht="13.5">
      <c r="A753" s="86"/>
      <c r="B753" s="91"/>
      <c r="C753" s="92"/>
      <c r="D753" s="82"/>
      <c r="E753" s="82"/>
      <c r="F753" s="96"/>
    </row>
    <row r="754" spans="1:6" ht="13.5">
      <c r="A754" s="86"/>
      <c r="B754" s="91"/>
      <c r="C754" s="92"/>
      <c r="D754" s="82"/>
      <c r="E754" s="82"/>
      <c r="F754" s="96"/>
    </row>
    <row r="755" spans="1:6" ht="13.5">
      <c r="A755" s="86"/>
      <c r="B755" s="91"/>
      <c r="C755" s="92"/>
      <c r="D755" s="82"/>
      <c r="E755" s="82"/>
      <c r="F755" s="96"/>
    </row>
    <row r="756" spans="1:6" ht="13.5">
      <c r="A756" s="86"/>
      <c r="B756" s="91"/>
      <c r="C756" s="92"/>
      <c r="D756" s="82"/>
      <c r="E756" s="82"/>
      <c r="F756" s="96"/>
    </row>
    <row r="757" spans="1:6" ht="13.5">
      <c r="A757" s="86"/>
      <c r="B757" s="91"/>
      <c r="C757" s="92"/>
      <c r="D757" s="82"/>
      <c r="E757" s="82"/>
      <c r="F757" s="96"/>
    </row>
    <row r="758" spans="1:6" ht="13.5">
      <c r="A758" s="86"/>
      <c r="B758" s="91"/>
      <c r="C758" s="92"/>
      <c r="D758" s="82"/>
      <c r="E758" s="82"/>
      <c r="F758" s="96"/>
    </row>
    <row r="759" spans="1:6" ht="13.5">
      <c r="A759" s="86"/>
      <c r="B759" s="91"/>
      <c r="C759" s="92"/>
      <c r="D759" s="82"/>
      <c r="E759" s="82"/>
      <c r="F759" s="96"/>
    </row>
    <row r="760" spans="1:6" ht="13.5">
      <c r="A760" s="86"/>
      <c r="B760" s="91"/>
      <c r="C760" s="92"/>
      <c r="D760" s="82"/>
      <c r="E760" s="82"/>
      <c r="F760" s="96"/>
    </row>
    <row r="761" spans="1:6" ht="13.5">
      <c r="A761" s="86"/>
      <c r="B761" s="91"/>
      <c r="C761" s="92"/>
      <c r="D761" s="82"/>
      <c r="E761" s="82"/>
      <c r="F761" s="96"/>
    </row>
    <row r="762" spans="1:6" ht="13.5">
      <c r="A762" s="86"/>
      <c r="B762" s="91"/>
      <c r="C762" s="92"/>
      <c r="D762" s="82"/>
      <c r="E762" s="82"/>
      <c r="F762" s="96"/>
    </row>
    <row r="763" spans="1:6" ht="13.5">
      <c r="A763" s="86"/>
      <c r="B763" s="91"/>
      <c r="C763" s="92"/>
      <c r="D763" s="82"/>
      <c r="E763" s="82"/>
      <c r="F763" s="96"/>
    </row>
    <row r="764" spans="1:6" ht="13.5">
      <c r="A764" s="86"/>
      <c r="B764" s="91"/>
      <c r="C764" s="92"/>
      <c r="D764" s="82"/>
      <c r="E764" s="82"/>
      <c r="F764" s="96"/>
    </row>
    <row r="765" spans="1:6" ht="13.5">
      <c r="A765" s="86"/>
      <c r="B765" s="91"/>
      <c r="C765" s="92"/>
      <c r="D765" s="82"/>
      <c r="E765" s="82"/>
      <c r="F765" s="96"/>
    </row>
    <row r="766" spans="1:6" ht="13.5">
      <c r="A766" s="86"/>
      <c r="B766" s="91"/>
      <c r="C766" s="92"/>
      <c r="D766" s="82"/>
      <c r="E766" s="82"/>
      <c r="F766" s="96"/>
    </row>
    <row r="767" spans="1:6" ht="13.5">
      <c r="A767" s="86"/>
      <c r="B767" s="91"/>
      <c r="C767" s="92"/>
      <c r="D767" s="82"/>
      <c r="E767" s="82"/>
      <c r="F767" s="96"/>
    </row>
    <row r="768" spans="1:6" ht="13.5">
      <c r="A768" s="86"/>
      <c r="B768" s="91"/>
      <c r="C768" s="92"/>
      <c r="D768" s="82"/>
      <c r="E768" s="82"/>
      <c r="F768" s="96"/>
    </row>
    <row r="769" spans="1:6" ht="13.5">
      <c r="A769" s="86"/>
      <c r="B769" s="91"/>
      <c r="C769" s="92"/>
      <c r="D769" s="82"/>
      <c r="E769" s="82"/>
      <c r="F769" s="96"/>
    </row>
    <row r="770" spans="1:6" ht="13.5">
      <c r="A770" s="86"/>
      <c r="B770" s="91"/>
      <c r="C770" s="92"/>
      <c r="D770" s="82"/>
      <c r="E770" s="82"/>
      <c r="F770" s="96"/>
    </row>
    <row r="771" spans="1:6" ht="13.5">
      <c r="A771" s="86"/>
      <c r="B771" s="91"/>
      <c r="C771" s="92"/>
      <c r="D771" s="82"/>
      <c r="E771" s="82"/>
      <c r="F771" s="96"/>
    </row>
    <row r="772" spans="1:6" ht="13.5">
      <c r="A772" s="86"/>
      <c r="B772" s="91"/>
      <c r="C772" s="92"/>
      <c r="D772" s="82"/>
      <c r="E772" s="82"/>
      <c r="F772" s="96"/>
    </row>
    <row r="773" spans="1:6" ht="13.5">
      <c r="A773" s="86"/>
      <c r="B773" s="91"/>
      <c r="C773" s="92"/>
      <c r="D773" s="82"/>
      <c r="E773" s="82"/>
      <c r="F773" s="96"/>
    </row>
    <row r="774" spans="1:6" ht="13.5">
      <c r="A774" s="86"/>
      <c r="B774" s="91"/>
      <c r="C774" s="92"/>
      <c r="D774" s="82"/>
      <c r="E774" s="82"/>
      <c r="F774" s="96"/>
    </row>
    <row r="775" spans="1:6" ht="13.5">
      <c r="A775" s="86"/>
      <c r="B775" s="91"/>
      <c r="C775" s="92"/>
      <c r="D775" s="82"/>
      <c r="E775" s="82"/>
      <c r="F775" s="96"/>
    </row>
    <row r="776" spans="1:6" ht="13.5">
      <c r="A776" s="86"/>
      <c r="B776" s="91"/>
      <c r="C776" s="92"/>
      <c r="D776" s="82"/>
      <c r="E776" s="82"/>
      <c r="F776" s="96"/>
    </row>
    <row r="777" spans="1:6" ht="13.5">
      <c r="A777" s="86"/>
      <c r="B777" s="91"/>
      <c r="C777" s="92"/>
      <c r="D777" s="82"/>
      <c r="E777" s="82"/>
      <c r="F777" s="96"/>
    </row>
    <row r="778" spans="1:6" ht="13.5">
      <c r="A778" s="86"/>
      <c r="B778" s="91"/>
      <c r="C778" s="92"/>
      <c r="D778" s="82"/>
      <c r="E778" s="82"/>
      <c r="F778" s="96"/>
    </row>
    <row r="779" spans="1:6" ht="13.5">
      <c r="A779" s="86"/>
      <c r="B779" s="91"/>
      <c r="C779" s="92"/>
      <c r="D779" s="82"/>
      <c r="E779" s="82"/>
      <c r="F779" s="96"/>
    </row>
    <row r="780" spans="1:6" ht="13.5">
      <c r="A780" s="86"/>
      <c r="B780" s="91"/>
      <c r="C780" s="92"/>
      <c r="D780" s="82"/>
      <c r="E780" s="82"/>
      <c r="F780" s="96"/>
    </row>
    <row r="781" spans="1:6" ht="13.5">
      <c r="A781" s="86"/>
      <c r="B781" s="91"/>
      <c r="C781" s="92"/>
      <c r="D781" s="82"/>
      <c r="E781" s="82"/>
      <c r="F781" s="96"/>
    </row>
    <row r="782" spans="1:6" ht="13.5">
      <c r="A782" s="86"/>
      <c r="B782" s="91"/>
      <c r="C782" s="92"/>
      <c r="D782" s="82"/>
      <c r="E782" s="82"/>
      <c r="F782" s="96"/>
    </row>
    <row r="783" spans="1:6" ht="13.5">
      <c r="A783" s="86"/>
      <c r="B783" s="91"/>
      <c r="C783" s="92"/>
      <c r="D783" s="82"/>
      <c r="E783" s="82"/>
      <c r="F783" s="96"/>
    </row>
    <row r="784" spans="1:6" ht="13.5">
      <c r="A784" s="86"/>
      <c r="B784" s="91"/>
      <c r="C784" s="92"/>
      <c r="D784" s="82"/>
      <c r="E784" s="82"/>
      <c r="F784" s="96"/>
    </row>
    <row r="785" spans="1:6" ht="13.5">
      <c r="A785" s="86"/>
      <c r="B785" s="91"/>
      <c r="C785" s="92"/>
      <c r="D785" s="82"/>
      <c r="E785" s="82"/>
      <c r="F785" s="96"/>
    </row>
    <row r="786" spans="1:6" ht="13.5">
      <c r="A786" s="86"/>
      <c r="B786" s="91"/>
      <c r="C786" s="92"/>
      <c r="D786" s="82"/>
      <c r="E786" s="82"/>
      <c r="F786" s="96"/>
    </row>
    <row r="787" spans="1:6" ht="13.5">
      <c r="A787" s="86"/>
      <c r="B787" s="91"/>
      <c r="C787" s="92"/>
      <c r="D787" s="82"/>
      <c r="E787" s="82"/>
      <c r="F787" s="96"/>
    </row>
    <row r="788" spans="1:6" ht="13.5">
      <c r="A788" s="86"/>
      <c r="B788" s="91"/>
      <c r="C788" s="92"/>
      <c r="D788" s="82"/>
      <c r="E788" s="82"/>
      <c r="F788" s="96"/>
    </row>
    <row r="789" spans="1:6" ht="13.5">
      <c r="A789" s="86"/>
      <c r="B789" s="91"/>
      <c r="C789" s="92"/>
      <c r="D789" s="82"/>
      <c r="E789" s="82"/>
      <c r="F789" s="96"/>
    </row>
    <row r="790" spans="1:6" ht="13.5">
      <c r="A790" s="86"/>
      <c r="B790" s="91"/>
      <c r="C790" s="92"/>
      <c r="D790" s="82"/>
      <c r="E790" s="82"/>
      <c r="F790" s="96"/>
    </row>
    <row r="791" spans="1:6" ht="13.5">
      <c r="A791" s="86"/>
      <c r="B791" s="91"/>
      <c r="C791" s="92"/>
      <c r="D791" s="82"/>
      <c r="E791" s="82"/>
      <c r="F791" s="96"/>
    </row>
    <row r="792" spans="1:6" ht="13.5">
      <c r="A792" s="86"/>
      <c r="B792" s="91"/>
      <c r="C792" s="92"/>
      <c r="D792" s="82"/>
      <c r="E792" s="82"/>
      <c r="F792" s="96"/>
    </row>
    <row r="793" spans="1:6" ht="13.5">
      <c r="A793" s="86"/>
      <c r="B793" s="91"/>
      <c r="C793" s="92"/>
      <c r="D793" s="82"/>
      <c r="E793" s="82"/>
      <c r="F793" s="96"/>
    </row>
    <row r="794" spans="1:6" ht="13.5">
      <c r="A794" s="86"/>
      <c r="B794" s="91"/>
      <c r="C794" s="92"/>
      <c r="D794" s="82"/>
      <c r="E794" s="82"/>
      <c r="F794" s="96"/>
    </row>
    <row r="795" spans="1:6" ht="13.5">
      <c r="A795" s="86"/>
      <c r="B795" s="91"/>
      <c r="C795" s="92"/>
      <c r="D795" s="82"/>
      <c r="E795" s="82"/>
      <c r="F795" s="96"/>
    </row>
    <row r="796" spans="1:6" ht="13.5">
      <c r="A796" s="86"/>
      <c r="B796" s="91"/>
      <c r="C796" s="92"/>
      <c r="D796" s="82"/>
      <c r="E796" s="82"/>
      <c r="F796" s="96"/>
    </row>
    <row r="797" spans="1:6" ht="13.5">
      <c r="A797" s="86"/>
      <c r="B797" s="91"/>
      <c r="C797" s="92"/>
      <c r="D797" s="82"/>
      <c r="E797" s="82"/>
      <c r="F797" s="96"/>
    </row>
    <row r="798" spans="1:6" ht="13.5">
      <c r="A798" s="86"/>
      <c r="B798" s="91"/>
      <c r="C798" s="92"/>
      <c r="D798" s="82"/>
      <c r="E798" s="82"/>
      <c r="F798" s="96"/>
    </row>
    <row r="799" spans="1:6" ht="13.5">
      <c r="A799" s="86"/>
      <c r="B799" s="91"/>
      <c r="C799" s="92"/>
      <c r="D799" s="82"/>
      <c r="E799" s="82"/>
      <c r="F799" s="96"/>
    </row>
    <row r="800" spans="1:6" ht="13.5">
      <c r="A800" s="86"/>
      <c r="B800" s="91"/>
      <c r="C800" s="92"/>
      <c r="D800" s="82"/>
      <c r="E800" s="82"/>
      <c r="F800" s="96"/>
    </row>
    <row r="801" spans="1:6" ht="13.5">
      <c r="A801" s="86"/>
      <c r="B801" s="91"/>
      <c r="C801" s="92"/>
      <c r="D801" s="82"/>
      <c r="E801" s="82"/>
      <c r="F801" s="96"/>
    </row>
    <row r="802" spans="1:6" ht="13.5">
      <c r="A802" s="86"/>
      <c r="B802" s="91"/>
      <c r="C802" s="92"/>
      <c r="D802" s="82"/>
      <c r="E802" s="82"/>
      <c r="F802" s="96"/>
    </row>
    <row r="803" spans="1:6" ht="13.5">
      <c r="A803" s="86"/>
      <c r="B803" s="91"/>
      <c r="C803" s="92"/>
      <c r="D803" s="82"/>
      <c r="E803" s="82"/>
      <c r="F803" s="96"/>
    </row>
    <row r="804" spans="1:6" ht="13.5">
      <c r="A804" s="86"/>
      <c r="B804" s="91"/>
      <c r="C804" s="92"/>
      <c r="D804" s="82"/>
      <c r="E804" s="82"/>
      <c r="F804" s="96"/>
    </row>
    <row r="805" spans="1:6" ht="13.5">
      <c r="A805" s="86"/>
      <c r="B805" s="91"/>
      <c r="C805" s="92"/>
      <c r="D805" s="82"/>
      <c r="E805" s="82"/>
      <c r="F805" s="96"/>
    </row>
    <row r="806" spans="1:6" ht="13.5">
      <c r="A806" s="86"/>
      <c r="B806" s="91"/>
      <c r="C806" s="92"/>
      <c r="D806" s="82"/>
      <c r="E806" s="82"/>
      <c r="F806" s="96"/>
    </row>
    <row r="807" spans="1:6" ht="13.5">
      <c r="A807" s="86"/>
      <c r="B807" s="91"/>
      <c r="C807" s="92"/>
      <c r="D807" s="82"/>
      <c r="E807" s="82"/>
      <c r="F807" s="96"/>
    </row>
    <row r="808" spans="1:6" ht="13.5">
      <c r="A808" s="86"/>
      <c r="B808" s="91"/>
      <c r="C808" s="92"/>
      <c r="D808" s="82"/>
      <c r="E808" s="82"/>
      <c r="F808" s="96"/>
    </row>
    <row r="809" spans="1:6" ht="13.5">
      <c r="A809" s="86"/>
      <c r="B809" s="91"/>
      <c r="C809" s="92"/>
      <c r="D809" s="82"/>
      <c r="E809" s="82"/>
      <c r="F809" s="96"/>
    </row>
    <row r="810" spans="1:6" ht="13.5">
      <c r="A810" s="86"/>
      <c r="B810" s="91"/>
      <c r="C810" s="92"/>
      <c r="D810" s="82"/>
      <c r="E810" s="82"/>
      <c r="F810" s="96"/>
    </row>
    <row r="811" spans="1:6" ht="13.5">
      <c r="A811" s="86"/>
      <c r="B811" s="91"/>
      <c r="C811" s="92"/>
      <c r="D811" s="82"/>
      <c r="E811" s="82"/>
      <c r="F811" s="96"/>
    </row>
    <row r="812" spans="1:6" ht="13.5">
      <c r="A812" s="86"/>
      <c r="B812" s="91"/>
      <c r="C812" s="92"/>
      <c r="D812" s="82"/>
      <c r="E812" s="82"/>
      <c r="F812" s="96"/>
    </row>
    <row r="813" spans="1:6" ht="13.5">
      <c r="A813" s="86"/>
      <c r="B813" s="91"/>
      <c r="C813" s="92"/>
      <c r="D813" s="82"/>
      <c r="E813" s="82"/>
      <c r="F813" s="96"/>
    </row>
    <row r="814" spans="1:6" ht="13.5">
      <c r="A814" s="86"/>
      <c r="B814" s="91"/>
      <c r="C814" s="92"/>
      <c r="D814" s="82"/>
      <c r="E814" s="82"/>
      <c r="F814" s="96"/>
    </row>
    <row r="815" spans="1:6" ht="13.5">
      <c r="A815" s="86"/>
      <c r="B815" s="91"/>
      <c r="C815" s="92"/>
      <c r="D815" s="82"/>
      <c r="E815" s="82"/>
      <c r="F815" s="96"/>
    </row>
    <row r="816" spans="1:6" ht="13.5">
      <c r="A816" s="86"/>
      <c r="B816" s="91"/>
      <c r="C816" s="92"/>
      <c r="D816" s="82"/>
      <c r="E816" s="82"/>
      <c r="F816" s="96"/>
    </row>
    <row r="817" spans="1:6" ht="13.5">
      <c r="A817" s="86"/>
      <c r="B817" s="91"/>
      <c r="C817" s="92"/>
      <c r="D817" s="82"/>
      <c r="E817" s="82"/>
      <c r="F817" s="96"/>
    </row>
    <row r="818" spans="1:6" ht="13.5">
      <c r="A818" s="86"/>
      <c r="B818" s="91"/>
      <c r="C818" s="92"/>
      <c r="D818" s="82"/>
      <c r="E818" s="82"/>
      <c r="F818" s="96"/>
    </row>
    <row r="819" spans="1:6" ht="13.5">
      <c r="A819" s="86"/>
      <c r="B819" s="91"/>
      <c r="C819" s="92"/>
      <c r="D819" s="82"/>
      <c r="E819" s="82"/>
      <c r="F819" s="96"/>
    </row>
    <row r="820" spans="1:6" ht="13.5">
      <c r="A820" s="86"/>
      <c r="B820" s="91"/>
      <c r="C820" s="92"/>
      <c r="D820" s="82"/>
      <c r="E820" s="82"/>
      <c r="F820" s="96"/>
    </row>
    <row r="821" spans="1:6" ht="13.5">
      <c r="A821" s="86"/>
      <c r="B821" s="91"/>
      <c r="C821" s="92"/>
      <c r="D821" s="82"/>
      <c r="E821" s="82"/>
      <c r="F821" s="96"/>
    </row>
    <row r="822" spans="1:6" ht="13.5">
      <c r="A822" s="86"/>
      <c r="B822" s="91"/>
      <c r="C822" s="92"/>
      <c r="D822" s="82"/>
      <c r="E822" s="82"/>
      <c r="F822" s="96"/>
    </row>
    <row r="823" spans="1:6" ht="13.5">
      <c r="A823" s="86"/>
      <c r="B823" s="91"/>
      <c r="C823" s="92"/>
      <c r="D823" s="82"/>
      <c r="E823" s="82"/>
      <c r="F823" s="96"/>
    </row>
    <row r="824" spans="1:6" ht="13.5">
      <c r="A824" s="86"/>
      <c r="B824" s="91"/>
      <c r="C824" s="92"/>
      <c r="D824" s="82"/>
      <c r="E824" s="82"/>
      <c r="F824" s="96"/>
    </row>
    <row r="825" spans="1:6" ht="13.5">
      <c r="A825" s="86"/>
      <c r="B825" s="91"/>
      <c r="C825" s="92"/>
      <c r="D825" s="82"/>
      <c r="E825" s="82"/>
      <c r="F825" s="96"/>
    </row>
    <row r="826" spans="1:6" ht="13.5">
      <c r="A826" s="86"/>
      <c r="B826" s="91"/>
      <c r="C826" s="92"/>
      <c r="D826" s="82"/>
      <c r="E826" s="82"/>
      <c r="F826" s="96"/>
    </row>
    <row r="827" spans="1:6" ht="13.5">
      <c r="A827" s="86"/>
      <c r="B827" s="91"/>
      <c r="C827" s="92"/>
      <c r="D827" s="82"/>
      <c r="E827" s="82"/>
      <c r="F827" s="96"/>
    </row>
    <row r="828" spans="1:6" ht="13.5">
      <c r="A828" s="86"/>
      <c r="B828" s="91"/>
      <c r="C828" s="92"/>
      <c r="D828" s="82"/>
      <c r="E828" s="82"/>
      <c r="F828" s="96"/>
    </row>
    <row r="829" spans="1:6" ht="13.5">
      <c r="A829" s="86"/>
      <c r="B829" s="91"/>
      <c r="C829" s="92"/>
      <c r="D829" s="82"/>
      <c r="E829" s="82"/>
      <c r="F829" s="96"/>
    </row>
    <row r="830" spans="1:6" ht="13.5">
      <c r="A830" s="86"/>
      <c r="B830" s="91"/>
      <c r="C830" s="92"/>
      <c r="D830" s="82"/>
      <c r="E830" s="82"/>
      <c r="F830" s="96"/>
    </row>
    <row r="831" spans="1:6" ht="13.5">
      <c r="A831" s="86"/>
      <c r="B831" s="91"/>
      <c r="C831" s="92"/>
      <c r="D831" s="82"/>
      <c r="E831" s="82"/>
      <c r="F831" s="96"/>
    </row>
    <row r="832" spans="1:6" ht="13.5">
      <c r="A832" s="86"/>
      <c r="B832" s="91"/>
      <c r="C832" s="92"/>
      <c r="D832" s="82"/>
      <c r="E832" s="82"/>
      <c r="F832" s="96"/>
    </row>
    <row r="833" spans="1:6" ht="13.5">
      <c r="A833" s="86"/>
      <c r="B833" s="91"/>
      <c r="C833" s="92"/>
      <c r="D833" s="82"/>
      <c r="E833" s="82"/>
      <c r="F833" s="96"/>
    </row>
    <row r="834" spans="1:6" ht="13.5">
      <c r="A834" s="86"/>
      <c r="B834" s="91"/>
      <c r="C834" s="92"/>
      <c r="D834" s="82"/>
      <c r="E834" s="82"/>
      <c r="F834" s="96"/>
    </row>
    <row r="835" spans="1:6" ht="13.5">
      <c r="A835" s="86"/>
      <c r="B835" s="91"/>
      <c r="C835" s="92"/>
      <c r="D835" s="82"/>
      <c r="E835" s="82"/>
      <c r="F835" s="96"/>
    </row>
    <row r="836" spans="1:6" ht="13.5">
      <c r="A836" s="86"/>
      <c r="B836" s="91"/>
      <c r="C836" s="92"/>
      <c r="D836" s="82"/>
      <c r="E836" s="82"/>
      <c r="F836" s="96"/>
    </row>
    <row r="837" spans="1:6" ht="13.5">
      <c r="A837" s="86"/>
      <c r="B837" s="91"/>
      <c r="C837" s="92"/>
      <c r="D837" s="82"/>
      <c r="E837" s="82"/>
      <c r="F837" s="96"/>
    </row>
    <row r="838" spans="1:6" ht="13.5">
      <c r="A838" s="86"/>
      <c r="B838" s="91"/>
      <c r="C838" s="92"/>
      <c r="D838" s="82"/>
      <c r="E838" s="82"/>
      <c r="F838" s="96"/>
    </row>
    <row r="839" spans="1:6" ht="13.5">
      <c r="A839" s="86"/>
      <c r="B839" s="91"/>
      <c r="C839" s="92"/>
      <c r="D839" s="82"/>
      <c r="E839" s="82"/>
      <c r="F839" s="96"/>
    </row>
    <row r="840" spans="1:6" ht="13.5">
      <c r="A840" s="86"/>
      <c r="B840" s="91"/>
      <c r="C840" s="92"/>
      <c r="D840" s="82"/>
      <c r="E840" s="82"/>
      <c r="F840" s="96"/>
    </row>
    <row r="841" spans="1:6" ht="13.5">
      <c r="A841" s="86"/>
      <c r="B841" s="91"/>
      <c r="C841" s="92"/>
      <c r="D841" s="82"/>
      <c r="E841" s="82"/>
      <c r="F841" s="96"/>
    </row>
    <row r="842" spans="1:6" ht="13.5">
      <c r="A842" s="86"/>
      <c r="B842" s="91"/>
      <c r="C842" s="92"/>
      <c r="D842" s="82"/>
      <c r="E842" s="82"/>
      <c r="F842" s="96"/>
    </row>
    <row r="843" spans="1:6" ht="13.5">
      <c r="A843" s="86"/>
      <c r="B843" s="91"/>
      <c r="C843" s="92"/>
      <c r="D843" s="82"/>
      <c r="E843" s="82"/>
      <c r="F843" s="96"/>
    </row>
    <row r="844" spans="1:6" ht="13.5">
      <c r="A844" s="86"/>
      <c r="B844" s="91"/>
      <c r="C844" s="92"/>
      <c r="D844" s="82"/>
      <c r="E844" s="82"/>
      <c r="F844" s="96"/>
    </row>
    <row r="845" spans="1:6" ht="13.5">
      <c r="A845" s="86"/>
      <c r="B845" s="91"/>
      <c r="C845" s="92"/>
      <c r="D845" s="82"/>
      <c r="E845" s="82"/>
      <c r="F845" s="96"/>
    </row>
    <row r="846" spans="1:6" ht="13.5">
      <c r="A846" s="86"/>
      <c r="B846" s="91"/>
      <c r="C846" s="92"/>
      <c r="D846" s="82"/>
      <c r="E846" s="82"/>
      <c r="F846" s="96"/>
    </row>
    <row r="847" spans="1:6" ht="13.5">
      <c r="A847" s="86"/>
      <c r="B847" s="91"/>
      <c r="C847" s="92"/>
      <c r="D847" s="82"/>
      <c r="E847" s="82"/>
      <c r="F847" s="96"/>
    </row>
    <row r="848" spans="1:6" ht="13.5">
      <c r="A848" s="86"/>
      <c r="B848" s="91"/>
      <c r="C848" s="92"/>
      <c r="D848" s="82"/>
      <c r="E848" s="82"/>
      <c r="F848" s="96"/>
    </row>
    <row r="849" spans="1:6" ht="13.5">
      <c r="A849" s="86"/>
      <c r="B849" s="91"/>
      <c r="C849" s="92"/>
      <c r="D849" s="82"/>
      <c r="E849" s="82"/>
      <c r="F849" s="96"/>
    </row>
    <row r="850" spans="1:6" ht="13.5">
      <c r="A850" s="86"/>
      <c r="B850" s="91"/>
      <c r="C850" s="92"/>
      <c r="D850" s="82"/>
      <c r="E850" s="82"/>
      <c r="F850" s="96"/>
    </row>
    <row r="851" spans="1:6" ht="13.5">
      <c r="A851" s="86"/>
      <c r="B851" s="91"/>
      <c r="C851" s="92"/>
      <c r="D851" s="82"/>
      <c r="E851" s="82"/>
      <c r="F851" s="96"/>
    </row>
    <row r="852" spans="1:6" ht="13.5">
      <c r="A852" s="86"/>
      <c r="B852" s="91"/>
      <c r="C852" s="92"/>
      <c r="D852" s="82"/>
      <c r="E852" s="82"/>
      <c r="F852" s="96"/>
    </row>
    <row r="853" spans="1:6" ht="13.5">
      <c r="A853" s="86"/>
      <c r="B853" s="91"/>
      <c r="C853" s="92"/>
      <c r="D853" s="82"/>
      <c r="E853" s="82"/>
      <c r="F853" s="96"/>
    </row>
    <row r="854" spans="1:6" ht="13.5">
      <c r="A854" s="86"/>
      <c r="B854" s="91"/>
      <c r="C854" s="92"/>
      <c r="D854" s="82"/>
      <c r="E854" s="82"/>
      <c r="F854" s="96"/>
    </row>
    <row r="855" spans="1:6" ht="13.5">
      <c r="A855" s="86"/>
      <c r="B855" s="91"/>
      <c r="C855" s="92"/>
      <c r="D855" s="82"/>
      <c r="E855" s="82"/>
      <c r="F855" s="96"/>
    </row>
    <row r="856" spans="1:6" ht="13.5">
      <c r="A856" s="86"/>
      <c r="B856" s="91"/>
      <c r="C856" s="92"/>
      <c r="D856" s="82"/>
      <c r="E856" s="82"/>
      <c r="F856" s="96"/>
    </row>
    <row r="857" spans="1:6" ht="13.5">
      <c r="A857" s="86"/>
      <c r="B857" s="91"/>
      <c r="C857" s="92"/>
      <c r="D857" s="82"/>
      <c r="E857" s="82"/>
      <c r="F857" s="96"/>
    </row>
    <row r="858" spans="1:6" ht="13.5">
      <c r="A858" s="86"/>
      <c r="B858" s="91"/>
      <c r="C858" s="92"/>
      <c r="D858" s="82"/>
      <c r="E858" s="82"/>
      <c r="F858" s="96"/>
    </row>
    <row r="859" spans="1:6" ht="13.5">
      <c r="A859" s="86"/>
      <c r="B859" s="91"/>
      <c r="C859" s="92"/>
      <c r="D859" s="82"/>
      <c r="E859" s="82"/>
      <c r="F859" s="96"/>
    </row>
    <row r="860" spans="1:6" ht="13.5">
      <c r="A860" s="86"/>
      <c r="B860" s="91"/>
      <c r="C860" s="92"/>
      <c r="D860" s="82"/>
      <c r="E860" s="82"/>
      <c r="F860" s="96"/>
    </row>
    <row r="861" spans="1:6" ht="13.5">
      <c r="A861" s="86"/>
      <c r="B861" s="91"/>
      <c r="C861" s="92"/>
      <c r="D861" s="82"/>
      <c r="E861" s="82"/>
      <c r="F861" s="96"/>
    </row>
    <row r="862" spans="1:6" ht="13.5">
      <c r="A862" s="86"/>
      <c r="B862" s="91"/>
      <c r="C862" s="92"/>
      <c r="D862" s="82"/>
      <c r="E862" s="82"/>
      <c r="F862" s="96"/>
    </row>
    <row r="863" spans="1:6" ht="13.5">
      <c r="A863" s="86"/>
      <c r="B863" s="91"/>
      <c r="C863" s="92"/>
      <c r="D863" s="82"/>
      <c r="E863" s="82"/>
      <c r="F863" s="96"/>
    </row>
    <row r="864" spans="1:6" ht="13.5">
      <c r="A864" s="86"/>
      <c r="B864" s="91"/>
      <c r="C864" s="92"/>
      <c r="D864" s="82"/>
      <c r="E864" s="82"/>
      <c r="F864" s="96"/>
    </row>
    <row r="865" spans="1:6" ht="13.5">
      <c r="A865" s="86"/>
      <c r="B865" s="91"/>
      <c r="C865" s="92"/>
      <c r="D865" s="82"/>
      <c r="E865" s="82"/>
      <c r="F865" s="96"/>
    </row>
    <row r="866" spans="1:6" ht="13.5">
      <c r="A866" s="86"/>
      <c r="B866" s="91"/>
      <c r="C866" s="92"/>
      <c r="D866" s="82"/>
      <c r="E866" s="82"/>
      <c r="F866" s="96"/>
    </row>
    <row r="867" spans="1:6" ht="13.5">
      <c r="A867" s="86"/>
      <c r="B867" s="91"/>
      <c r="C867" s="92"/>
      <c r="D867" s="82"/>
      <c r="E867" s="82"/>
      <c r="F867" s="96"/>
    </row>
    <row r="868" spans="1:6" ht="13.5">
      <c r="A868" s="86"/>
      <c r="B868" s="91"/>
      <c r="C868" s="92"/>
      <c r="D868" s="82"/>
      <c r="E868" s="82"/>
      <c r="F868" s="96"/>
    </row>
    <row r="869" spans="1:6" ht="13.5">
      <c r="A869" s="86"/>
      <c r="B869" s="91"/>
      <c r="C869" s="92"/>
      <c r="D869" s="82"/>
      <c r="E869" s="82"/>
      <c r="F869" s="96"/>
    </row>
    <row r="870" spans="1:6" ht="13.5">
      <c r="A870" s="86"/>
      <c r="B870" s="91"/>
      <c r="C870" s="92"/>
      <c r="D870" s="82"/>
      <c r="E870" s="82"/>
      <c r="F870" s="96"/>
    </row>
    <row r="871" spans="1:6" ht="13.5">
      <c r="A871" s="86"/>
      <c r="B871" s="91"/>
      <c r="C871" s="92"/>
      <c r="D871" s="82"/>
      <c r="E871" s="82"/>
      <c r="F871" s="96"/>
    </row>
    <row r="872" spans="1:6" ht="13.5">
      <c r="A872" s="86"/>
      <c r="B872" s="91"/>
      <c r="C872" s="92"/>
      <c r="D872" s="82"/>
      <c r="E872" s="82"/>
      <c r="F872" s="96"/>
    </row>
    <row r="873" spans="1:6" ht="13.5">
      <c r="A873" s="86"/>
      <c r="B873" s="91"/>
      <c r="C873" s="92"/>
      <c r="D873" s="82"/>
      <c r="E873" s="82"/>
      <c r="F873" s="96"/>
    </row>
    <row r="874" spans="1:6" ht="13.5">
      <c r="A874" s="86"/>
      <c r="B874" s="91"/>
      <c r="C874" s="92"/>
      <c r="D874" s="82"/>
      <c r="E874" s="82"/>
      <c r="F874" s="96"/>
    </row>
    <row r="875" spans="1:6" ht="13.5">
      <c r="A875" s="86"/>
      <c r="B875" s="91"/>
      <c r="C875" s="92"/>
      <c r="D875" s="82"/>
      <c r="E875" s="82"/>
      <c r="F875" s="96"/>
    </row>
    <row r="876" spans="1:6" ht="13.5">
      <c r="A876" s="86"/>
      <c r="B876" s="91"/>
      <c r="C876" s="92"/>
      <c r="D876" s="82"/>
      <c r="E876" s="82"/>
      <c r="F876" s="96"/>
    </row>
    <row r="877" spans="1:6" ht="13.5">
      <c r="A877" s="86"/>
      <c r="B877" s="91"/>
      <c r="C877" s="92"/>
      <c r="D877" s="82"/>
      <c r="E877" s="82"/>
      <c r="F877" s="96"/>
    </row>
    <row r="878" spans="1:6" ht="13.5">
      <c r="A878" s="86"/>
      <c r="B878" s="91"/>
      <c r="C878" s="92"/>
      <c r="D878" s="82"/>
      <c r="E878" s="82"/>
      <c r="F878" s="96"/>
    </row>
    <row r="879" spans="1:6" ht="13.5">
      <c r="A879" s="86"/>
      <c r="B879" s="91"/>
      <c r="C879" s="92"/>
      <c r="D879" s="82"/>
      <c r="E879" s="82"/>
      <c r="F879" s="96"/>
    </row>
    <row r="880" spans="1:6" ht="13.5">
      <c r="A880" s="86"/>
      <c r="B880" s="91"/>
      <c r="C880" s="92"/>
      <c r="D880" s="82"/>
      <c r="E880" s="82"/>
      <c r="F880" s="96"/>
    </row>
    <row r="881" spans="1:6" ht="13.5">
      <c r="A881" s="86"/>
      <c r="B881" s="91"/>
      <c r="C881" s="92"/>
      <c r="D881" s="82"/>
      <c r="E881" s="82"/>
      <c r="F881" s="96"/>
    </row>
    <row r="882" spans="1:6" ht="13.5">
      <c r="A882" s="86"/>
      <c r="B882" s="91"/>
      <c r="C882" s="92"/>
      <c r="D882" s="82"/>
      <c r="E882" s="82"/>
      <c r="F882" s="96"/>
    </row>
    <row r="883" spans="1:6" ht="13.5">
      <c r="A883" s="86"/>
      <c r="B883" s="91"/>
      <c r="C883" s="92"/>
      <c r="D883" s="82"/>
      <c r="E883" s="82"/>
      <c r="F883" s="96"/>
    </row>
    <row r="884" spans="1:6" ht="13.5">
      <c r="A884" s="86"/>
      <c r="B884" s="91"/>
      <c r="C884" s="92"/>
      <c r="D884" s="82"/>
      <c r="E884" s="82"/>
      <c r="F884" s="96"/>
    </row>
    <row r="885" spans="1:6" ht="13.5">
      <c r="A885" s="86"/>
      <c r="B885" s="91"/>
      <c r="C885" s="92"/>
      <c r="D885" s="82"/>
      <c r="E885" s="82"/>
      <c r="F885" s="96"/>
    </row>
    <row r="886" spans="1:6" ht="13.5">
      <c r="A886" s="86"/>
      <c r="B886" s="91"/>
      <c r="C886" s="92"/>
      <c r="D886" s="82"/>
      <c r="E886" s="82"/>
      <c r="F886" s="96"/>
    </row>
    <row r="887" spans="1:6" ht="13.5">
      <c r="A887" s="86"/>
      <c r="B887" s="91"/>
      <c r="C887" s="92"/>
      <c r="D887" s="82"/>
      <c r="E887" s="82"/>
      <c r="F887" s="96"/>
    </row>
    <row r="888" spans="1:6" ht="13.5">
      <c r="A888" s="86"/>
      <c r="B888" s="91"/>
      <c r="C888" s="92"/>
      <c r="D888" s="82"/>
      <c r="E888" s="82"/>
      <c r="F888" s="96"/>
    </row>
    <row r="889" spans="1:6" ht="13.5">
      <c r="A889" s="86"/>
      <c r="B889" s="91"/>
      <c r="C889" s="92"/>
      <c r="D889" s="82"/>
      <c r="E889" s="82"/>
      <c r="F889" s="96"/>
    </row>
    <row r="890" spans="1:6" ht="13.5">
      <c r="A890" s="86"/>
      <c r="B890" s="91"/>
      <c r="C890" s="92"/>
      <c r="D890" s="82"/>
      <c r="E890" s="82"/>
      <c r="F890" s="96"/>
    </row>
    <row r="891" spans="1:6" ht="13.5">
      <c r="A891" s="86"/>
      <c r="B891" s="91"/>
      <c r="C891" s="92"/>
      <c r="D891" s="82"/>
      <c r="E891" s="82"/>
      <c r="F891" s="96"/>
    </row>
    <row r="892" spans="1:6" ht="13.5">
      <c r="A892" s="86"/>
      <c r="B892" s="91"/>
      <c r="C892" s="92"/>
      <c r="D892" s="82"/>
      <c r="E892" s="82"/>
      <c r="F892" s="96"/>
    </row>
    <row r="893" spans="1:6" ht="13.5">
      <c r="A893" s="86"/>
      <c r="B893" s="91"/>
      <c r="C893" s="92"/>
      <c r="D893" s="82"/>
      <c r="E893" s="82"/>
      <c r="F893" s="96"/>
    </row>
    <row r="894" spans="1:6" ht="13.5">
      <c r="A894" s="86"/>
      <c r="B894" s="91"/>
      <c r="C894" s="92"/>
      <c r="D894" s="82"/>
      <c r="E894" s="82"/>
      <c r="F894" s="96"/>
    </row>
    <row r="895" spans="1:6" ht="13.5">
      <c r="A895" s="86"/>
      <c r="B895" s="91"/>
      <c r="C895" s="92"/>
      <c r="D895" s="82"/>
      <c r="E895" s="82"/>
      <c r="F895" s="96"/>
    </row>
    <row r="896" spans="1:6" ht="13.5">
      <c r="A896" s="86"/>
      <c r="B896" s="91"/>
      <c r="C896" s="92"/>
      <c r="D896" s="82"/>
      <c r="E896" s="82"/>
      <c r="F896" s="96"/>
    </row>
    <row r="897" spans="1:6" ht="13.5">
      <c r="A897" s="86"/>
      <c r="B897" s="91"/>
      <c r="C897" s="92"/>
      <c r="D897" s="82"/>
      <c r="E897" s="82"/>
      <c r="F897" s="96"/>
    </row>
    <row r="898" spans="1:6" ht="13.5">
      <c r="A898" s="86"/>
      <c r="B898" s="91"/>
      <c r="C898" s="92"/>
      <c r="D898" s="82"/>
      <c r="E898" s="82"/>
      <c r="F898" s="96"/>
    </row>
    <row r="899" spans="1:6" ht="13.5">
      <c r="A899" s="86"/>
      <c r="B899" s="91"/>
      <c r="C899" s="92"/>
      <c r="D899" s="82"/>
      <c r="E899" s="82"/>
      <c r="F899" s="96"/>
    </row>
    <row r="900" spans="1:6" ht="13.5">
      <c r="A900" s="86"/>
      <c r="B900" s="91"/>
      <c r="C900" s="92"/>
      <c r="D900" s="82"/>
      <c r="E900" s="82"/>
      <c r="F900" s="96"/>
    </row>
    <row r="901" spans="1:6" ht="13.5">
      <c r="A901" s="86"/>
      <c r="B901" s="91"/>
      <c r="C901" s="92"/>
      <c r="D901" s="82"/>
      <c r="E901" s="82"/>
      <c r="F901" s="96"/>
    </row>
    <row r="902" spans="1:6" ht="13.5">
      <c r="A902" s="86"/>
      <c r="B902" s="91"/>
      <c r="C902" s="92"/>
      <c r="D902" s="82"/>
      <c r="E902" s="82"/>
      <c r="F902" s="96"/>
    </row>
    <row r="903" spans="1:6" ht="13.5">
      <c r="A903" s="86"/>
      <c r="B903" s="91"/>
      <c r="C903" s="92"/>
      <c r="D903" s="82"/>
      <c r="E903" s="82"/>
      <c r="F903" s="96"/>
    </row>
    <row r="904" spans="1:6" ht="13.5">
      <c r="A904" s="86"/>
      <c r="B904" s="91"/>
      <c r="C904" s="92"/>
      <c r="D904" s="82"/>
      <c r="E904" s="82"/>
      <c r="F904" s="96"/>
    </row>
    <row r="905" spans="1:6" ht="13.5">
      <c r="A905" s="86"/>
      <c r="B905" s="91"/>
      <c r="C905" s="92"/>
      <c r="D905" s="82"/>
      <c r="E905" s="82"/>
      <c r="F905" s="96"/>
    </row>
    <row r="906" spans="1:6" ht="13.5">
      <c r="A906" s="86"/>
      <c r="B906" s="91"/>
      <c r="C906" s="92"/>
      <c r="D906" s="82"/>
      <c r="E906" s="82"/>
      <c r="F906" s="96"/>
    </row>
    <row r="907" spans="1:6" ht="13.5">
      <c r="A907" s="86"/>
      <c r="B907" s="91"/>
      <c r="C907" s="92"/>
      <c r="D907" s="82"/>
      <c r="E907" s="82"/>
      <c r="F907" s="96"/>
    </row>
    <row r="908" spans="1:6" ht="13.5">
      <c r="A908" s="86"/>
      <c r="B908" s="91"/>
      <c r="C908" s="92"/>
      <c r="D908" s="82"/>
      <c r="E908" s="82"/>
      <c r="F908" s="96"/>
    </row>
    <row r="909" spans="1:6" ht="13.5">
      <c r="A909" s="86"/>
      <c r="B909" s="91"/>
      <c r="C909" s="92"/>
      <c r="D909" s="82"/>
      <c r="E909" s="82"/>
      <c r="F909" s="96"/>
    </row>
    <row r="910" spans="1:6" ht="13.5">
      <c r="A910" s="86"/>
      <c r="B910" s="91"/>
      <c r="C910" s="92"/>
      <c r="D910" s="82"/>
      <c r="E910" s="82"/>
      <c r="F910" s="96"/>
    </row>
    <row r="911" spans="1:6" ht="13.5">
      <c r="A911" s="86"/>
      <c r="B911" s="91"/>
      <c r="C911" s="92"/>
      <c r="D911" s="82"/>
      <c r="E911" s="82"/>
      <c r="F911" s="96"/>
    </row>
    <row r="912" spans="1:6" ht="13.5">
      <c r="A912" s="86"/>
      <c r="B912" s="91"/>
      <c r="C912" s="92"/>
      <c r="D912" s="82"/>
      <c r="E912" s="82"/>
      <c r="F912" s="96"/>
    </row>
    <row r="913" spans="1:6" ht="13.5">
      <c r="A913" s="86"/>
      <c r="B913" s="91"/>
      <c r="C913" s="92"/>
      <c r="D913" s="82"/>
      <c r="E913" s="82"/>
      <c r="F913" s="96"/>
    </row>
    <row r="914" spans="1:6" ht="13.5">
      <c r="A914" s="86"/>
      <c r="B914" s="91"/>
      <c r="C914" s="92"/>
      <c r="D914" s="82"/>
      <c r="E914" s="82"/>
      <c r="F914" s="96"/>
    </row>
    <row r="915" spans="1:6" ht="13.5">
      <c r="A915" s="86"/>
      <c r="B915" s="91"/>
      <c r="C915" s="92"/>
      <c r="D915" s="82"/>
      <c r="E915" s="82"/>
      <c r="F915" s="96"/>
    </row>
    <row r="916" spans="1:6" ht="13.5">
      <c r="A916" s="86"/>
      <c r="B916" s="91"/>
      <c r="C916" s="92"/>
      <c r="D916" s="82"/>
      <c r="E916" s="82"/>
      <c r="F916" s="96"/>
    </row>
    <row r="917" spans="1:6" ht="13.5">
      <c r="A917" s="86"/>
      <c r="B917" s="91"/>
      <c r="C917" s="92"/>
      <c r="D917" s="82"/>
      <c r="E917" s="82"/>
      <c r="F917" s="96"/>
    </row>
    <row r="918" spans="1:6" ht="13.5">
      <c r="A918" s="86"/>
      <c r="B918" s="91"/>
      <c r="C918" s="92"/>
      <c r="D918" s="82"/>
      <c r="E918" s="82"/>
      <c r="F918" s="96"/>
    </row>
    <row r="919" spans="1:6" ht="13.5">
      <c r="A919" s="86"/>
      <c r="B919" s="91"/>
      <c r="C919" s="92"/>
      <c r="D919" s="82"/>
      <c r="E919" s="82"/>
      <c r="F919" s="96"/>
    </row>
    <row r="920" spans="1:6" ht="13.5">
      <c r="A920" s="86"/>
      <c r="B920" s="91"/>
      <c r="C920" s="92"/>
      <c r="D920" s="82"/>
      <c r="E920" s="82"/>
      <c r="F920" s="96"/>
    </row>
    <row r="921" spans="1:6" ht="13.5">
      <c r="A921" s="86"/>
      <c r="B921" s="91"/>
      <c r="C921" s="92"/>
      <c r="D921" s="82"/>
      <c r="E921" s="82"/>
      <c r="F921" s="96"/>
    </row>
    <row r="922" spans="1:6" ht="13.5">
      <c r="A922" s="86"/>
      <c r="B922" s="91"/>
      <c r="C922" s="92"/>
      <c r="D922" s="82"/>
      <c r="E922" s="82"/>
      <c r="F922" s="96"/>
    </row>
    <row r="923" spans="1:6" ht="13.5">
      <c r="A923" s="86"/>
      <c r="B923" s="91"/>
      <c r="C923" s="92"/>
      <c r="D923" s="82"/>
      <c r="E923" s="82"/>
      <c r="F923" s="96"/>
    </row>
    <row r="924" spans="1:6" ht="13.5">
      <c r="A924" s="86"/>
      <c r="B924" s="91"/>
      <c r="C924" s="92"/>
      <c r="D924" s="82"/>
      <c r="E924" s="82"/>
      <c r="F924" s="96"/>
    </row>
    <row r="925" spans="1:6" ht="13.5">
      <c r="A925" s="86"/>
      <c r="B925" s="91"/>
      <c r="C925" s="92"/>
      <c r="D925" s="82"/>
      <c r="E925" s="82"/>
      <c r="F925" s="96"/>
    </row>
    <row r="926" spans="1:6" ht="13.5">
      <c r="A926" s="86"/>
      <c r="B926" s="91"/>
      <c r="C926" s="92"/>
      <c r="D926" s="82"/>
      <c r="E926" s="82"/>
      <c r="F926" s="96"/>
    </row>
    <row r="927" spans="1:6" ht="13.5">
      <c r="A927" s="86"/>
      <c r="B927" s="91"/>
      <c r="C927" s="92"/>
      <c r="D927" s="82"/>
      <c r="E927" s="82"/>
      <c r="F927" s="96"/>
    </row>
    <row r="928" spans="1:6" ht="13.5">
      <c r="A928" s="86"/>
      <c r="B928" s="91"/>
      <c r="C928" s="92"/>
      <c r="D928" s="82"/>
      <c r="E928" s="82"/>
      <c r="F928" s="96"/>
    </row>
    <row r="929" spans="1:6" ht="13.5">
      <c r="A929" s="86"/>
      <c r="B929" s="91"/>
      <c r="C929" s="92"/>
      <c r="D929" s="82"/>
      <c r="E929" s="82"/>
      <c r="F929" s="96"/>
    </row>
    <row r="930" spans="1:6" ht="13.5">
      <c r="A930" s="86"/>
      <c r="B930" s="91"/>
      <c r="C930" s="92"/>
      <c r="D930" s="82"/>
      <c r="E930" s="82"/>
      <c r="F930" s="96"/>
    </row>
    <row r="931" spans="1:6" ht="13.5">
      <c r="A931" s="86"/>
      <c r="B931" s="91"/>
      <c r="C931" s="92"/>
      <c r="D931" s="82"/>
      <c r="E931" s="82"/>
      <c r="F931" s="96"/>
    </row>
    <row r="932" spans="1:6" ht="13.5">
      <c r="A932" s="86"/>
      <c r="B932" s="91"/>
      <c r="C932" s="92"/>
      <c r="D932" s="82"/>
      <c r="E932" s="82"/>
      <c r="F932" s="96"/>
    </row>
    <row r="933" spans="1:6" ht="13.5">
      <c r="A933" s="86"/>
      <c r="B933" s="91"/>
      <c r="C933" s="92"/>
      <c r="D933" s="82"/>
      <c r="E933" s="82"/>
      <c r="F933" s="96"/>
    </row>
    <row r="934" spans="1:6" ht="13.5">
      <c r="A934" s="86"/>
      <c r="B934" s="91"/>
      <c r="C934" s="92"/>
      <c r="D934" s="82"/>
      <c r="E934" s="82"/>
      <c r="F934" s="96"/>
    </row>
    <row r="935" spans="1:6" ht="13.5">
      <c r="A935" s="86"/>
      <c r="B935" s="91"/>
      <c r="C935" s="92"/>
      <c r="D935" s="82"/>
      <c r="E935" s="82"/>
      <c r="F935" s="96"/>
    </row>
    <row r="936" spans="1:6" ht="13.5">
      <c r="A936" s="86"/>
      <c r="B936" s="91"/>
      <c r="C936" s="92"/>
      <c r="D936" s="82"/>
      <c r="E936" s="82"/>
      <c r="F936" s="96"/>
    </row>
    <row r="937" spans="1:6" ht="13.5">
      <c r="A937" s="86"/>
      <c r="B937" s="91"/>
      <c r="C937" s="92"/>
      <c r="D937" s="82"/>
      <c r="E937" s="82"/>
      <c r="F937" s="96"/>
    </row>
    <row r="938" spans="1:6" ht="13.5">
      <c r="A938" s="86"/>
      <c r="B938" s="91"/>
      <c r="C938" s="92"/>
      <c r="D938" s="82"/>
      <c r="E938" s="82"/>
      <c r="F938" s="96"/>
    </row>
    <row r="939" spans="1:6" ht="13.5">
      <c r="A939" s="86"/>
      <c r="B939" s="91"/>
      <c r="C939" s="92"/>
      <c r="D939" s="82"/>
      <c r="E939" s="82"/>
      <c r="F939" s="96"/>
    </row>
    <row r="940" spans="1:6" ht="13.5">
      <c r="A940" s="86"/>
      <c r="B940" s="91"/>
      <c r="C940" s="92"/>
      <c r="D940" s="82"/>
      <c r="E940" s="82"/>
      <c r="F940" s="96"/>
    </row>
    <row r="941" spans="1:6" ht="13.5">
      <c r="A941" s="86"/>
      <c r="B941" s="91"/>
      <c r="C941" s="92"/>
      <c r="D941" s="82"/>
      <c r="E941" s="82"/>
      <c r="F941" s="96"/>
    </row>
    <row r="942" spans="1:6" ht="13.5">
      <c r="A942" s="86"/>
      <c r="B942" s="91"/>
      <c r="C942" s="92"/>
      <c r="D942" s="82"/>
      <c r="E942" s="82"/>
      <c r="F942" s="96"/>
    </row>
    <row r="943" spans="1:6" ht="13.5">
      <c r="A943" s="86"/>
      <c r="B943" s="91"/>
      <c r="C943" s="92"/>
      <c r="D943" s="82"/>
      <c r="E943" s="82"/>
      <c r="F943" s="96"/>
    </row>
    <row r="944" spans="1:6" ht="13.5">
      <c r="A944" s="86"/>
      <c r="B944" s="91"/>
      <c r="C944" s="92"/>
      <c r="D944" s="82"/>
      <c r="E944" s="82"/>
      <c r="F944" s="96"/>
    </row>
    <row r="945" spans="1:6" ht="13.5">
      <c r="A945" s="86"/>
      <c r="B945" s="91"/>
      <c r="C945" s="92"/>
      <c r="D945" s="82"/>
      <c r="E945" s="82"/>
      <c r="F945" s="96"/>
    </row>
    <row r="946" spans="1:6" ht="13.5">
      <c r="A946" s="86"/>
      <c r="B946" s="91"/>
      <c r="C946" s="92"/>
      <c r="D946" s="82"/>
      <c r="E946" s="82"/>
      <c r="F946" s="96"/>
    </row>
    <row r="947" spans="1:6" ht="13.5">
      <c r="A947" s="86"/>
      <c r="B947" s="91"/>
      <c r="C947" s="92"/>
      <c r="D947" s="82"/>
      <c r="E947" s="82"/>
      <c r="F947" s="96"/>
    </row>
    <row r="948" spans="1:6" ht="13.5">
      <c r="A948" s="86"/>
      <c r="B948" s="91"/>
      <c r="C948" s="92"/>
      <c r="D948" s="82"/>
      <c r="E948" s="82"/>
      <c r="F948" s="96"/>
    </row>
    <row r="949" spans="1:6" ht="13.5">
      <c r="A949" s="86"/>
      <c r="B949" s="91"/>
      <c r="C949" s="92"/>
      <c r="D949" s="82"/>
      <c r="E949" s="82"/>
      <c r="F949" s="96"/>
    </row>
    <row r="950" spans="1:6" ht="13.5">
      <c r="A950" s="86"/>
      <c r="B950" s="91"/>
      <c r="C950" s="92"/>
      <c r="D950" s="82"/>
      <c r="E950" s="82"/>
      <c r="F950" s="96"/>
    </row>
    <row r="951" spans="1:6" ht="13.5">
      <c r="A951" s="86"/>
      <c r="B951" s="91"/>
      <c r="C951" s="92"/>
      <c r="D951" s="82"/>
      <c r="E951" s="82"/>
      <c r="F951" s="96"/>
    </row>
    <row r="952" spans="1:6" ht="13.5">
      <c r="A952" s="86"/>
      <c r="B952" s="91"/>
      <c r="C952" s="92"/>
      <c r="D952" s="82"/>
      <c r="E952" s="82"/>
      <c r="F952" s="96"/>
    </row>
    <row r="953" spans="1:6" ht="13.5">
      <c r="A953" s="86"/>
      <c r="B953" s="91"/>
      <c r="C953" s="92"/>
      <c r="D953" s="82"/>
      <c r="E953" s="82"/>
      <c r="F953" s="96"/>
    </row>
    <row r="954" spans="1:6" ht="13.5">
      <c r="A954" s="86"/>
      <c r="B954" s="91"/>
      <c r="C954" s="92"/>
      <c r="D954" s="82"/>
      <c r="E954" s="82"/>
      <c r="F954" s="96"/>
    </row>
    <row r="955" spans="1:6" ht="13.5">
      <c r="A955" s="86"/>
      <c r="B955" s="91"/>
      <c r="C955" s="92"/>
      <c r="D955" s="82"/>
      <c r="E955" s="82"/>
      <c r="F955" s="96"/>
    </row>
    <row r="956" spans="1:6" ht="13.5">
      <c r="A956" s="86"/>
      <c r="B956" s="91"/>
      <c r="C956" s="92"/>
      <c r="D956" s="82"/>
      <c r="E956" s="82"/>
      <c r="F956" s="96"/>
    </row>
    <row r="957" spans="1:6" ht="13.5">
      <c r="A957" s="86"/>
      <c r="B957" s="91"/>
      <c r="C957" s="92"/>
      <c r="D957" s="82"/>
      <c r="E957" s="82"/>
      <c r="F957" s="96"/>
    </row>
    <row r="958" spans="1:6" ht="13.5">
      <c r="A958" s="86"/>
      <c r="B958" s="91"/>
      <c r="C958" s="92"/>
      <c r="D958" s="82"/>
      <c r="E958" s="82"/>
      <c r="F958" s="96"/>
    </row>
    <row r="959" spans="1:6" ht="13.5">
      <c r="A959" s="86"/>
      <c r="B959" s="91"/>
      <c r="C959" s="92"/>
      <c r="D959" s="82"/>
      <c r="E959" s="82"/>
      <c r="F959" s="96"/>
    </row>
    <row r="960" spans="1:6" ht="13.5">
      <c r="A960" s="86"/>
      <c r="B960" s="91"/>
      <c r="C960" s="92"/>
      <c r="D960" s="82"/>
      <c r="E960" s="82"/>
      <c r="F960" s="96"/>
    </row>
    <row r="961" spans="1:6" ht="13.5">
      <c r="A961" s="86"/>
      <c r="B961" s="91"/>
      <c r="C961" s="92"/>
      <c r="D961" s="82"/>
      <c r="E961" s="82"/>
      <c r="F961" s="96"/>
    </row>
    <row r="962" spans="1:6" ht="13.5">
      <c r="A962" s="86"/>
      <c r="B962" s="91"/>
      <c r="C962" s="92"/>
      <c r="D962" s="82"/>
      <c r="E962" s="82"/>
      <c r="F962" s="96"/>
    </row>
    <row r="963" spans="1:6" ht="13.5">
      <c r="A963" s="86"/>
      <c r="B963" s="91"/>
      <c r="C963" s="92"/>
      <c r="D963" s="82"/>
      <c r="E963" s="82"/>
      <c r="F963" s="96"/>
    </row>
    <row r="964" spans="1:6" ht="13.5">
      <c r="A964" s="86"/>
      <c r="B964" s="91"/>
      <c r="C964" s="92"/>
      <c r="D964" s="82"/>
      <c r="E964" s="82"/>
      <c r="F964" s="96"/>
    </row>
    <row r="965" spans="1:6" ht="13.5">
      <c r="A965" s="86"/>
      <c r="B965" s="91"/>
      <c r="C965" s="92"/>
      <c r="D965" s="82"/>
      <c r="E965" s="82"/>
      <c r="F965" s="96"/>
    </row>
    <row r="966" spans="1:6" ht="13.5">
      <c r="A966" s="86"/>
      <c r="B966" s="91"/>
      <c r="C966" s="92"/>
      <c r="D966" s="82"/>
      <c r="E966" s="82"/>
      <c r="F966" s="96"/>
    </row>
    <row r="967" spans="1:6" ht="13.5">
      <c r="A967" s="86"/>
      <c r="B967" s="91"/>
      <c r="C967" s="92"/>
      <c r="D967" s="82"/>
      <c r="E967" s="82"/>
      <c r="F967" s="96"/>
    </row>
    <row r="968" spans="1:6" ht="13.5">
      <c r="A968" s="86"/>
      <c r="B968" s="91"/>
      <c r="C968" s="92"/>
      <c r="D968" s="82"/>
      <c r="E968" s="82"/>
      <c r="F968" s="96"/>
    </row>
    <row r="969" spans="1:6" ht="13.5">
      <c r="A969" s="86"/>
      <c r="B969" s="91"/>
      <c r="C969" s="92"/>
      <c r="D969" s="82"/>
      <c r="E969" s="82"/>
      <c r="F969" s="96"/>
    </row>
    <row r="970" spans="1:6" ht="13.5">
      <c r="A970" s="86"/>
      <c r="B970" s="91"/>
      <c r="C970" s="92"/>
      <c r="D970" s="82"/>
      <c r="E970" s="82"/>
      <c r="F970" s="96"/>
    </row>
    <row r="971" spans="1:6" ht="13.5">
      <c r="A971" s="86"/>
      <c r="B971" s="91"/>
      <c r="C971" s="92"/>
      <c r="D971" s="82"/>
      <c r="E971" s="82"/>
      <c r="F971" s="96"/>
    </row>
    <row r="972" spans="1:6" ht="13.5">
      <c r="A972" s="86"/>
      <c r="B972" s="91"/>
      <c r="C972" s="92"/>
      <c r="D972" s="82"/>
      <c r="E972" s="82"/>
      <c r="F972" s="96"/>
    </row>
    <row r="973" spans="1:6" ht="13.5">
      <c r="A973" s="86"/>
      <c r="B973" s="91"/>
      <c r="C973" s="92"/>
      <c r="D973" s="82"/>
      <c r="E973" s="82"/>
      <c r="F973" s="96"/>
    </row>
    <row r="974" spans="1:6" ht="13.5">
      <c r="A974" s="86"/>
      <c r="B974" s="91"/>
      <c r="C974" s="92"/>
      <c r="D974" s="82"/>
      <c r="E974" s="82"/>
      <c r="F974" s="96"/>
    </row>
    <row r="975" spans="1:6" ht="13.5">
      <c r="A975" s="86"/>
      <c r="B975" s="91"/>
      <c r="C975" s="92"/>
      <c r="D975" s="82"/>
      <c r="E975" s="82"/>
      <c r="F975" s="96"/>
    </row>
    <row r="976" spans="1:6" ht="13.5">
      <c r="A976" s="86"/>
      <c r="B976" s="91"/>
      <c r="C976" s="92"/>
      <c r="D976" s="82"/>
      <c r="E976" s="82"/>
      <c r="F976" s="96"/>
    </row>
    <row r="977" spans="1:6" ht="13.5">
      <c r="A977" s="86"/>
      <c r="B977" s="91"/>
      <c r="C977" s="92"/>
      <c r="D977" s="82"/>
      <c r="E977" s="82"/>
      <c r="F977" s="96"/>
    </row>
    <row r="978" spans="1:6" ht="13.5">
      <c r="A978" s="86"/>
      <c r="B978" s="91"/>
      <c r="C978" s="92"/>
      <c r="D978" s="82"/>
      <c r="E978" s="82"/>
      <c r="F978" s="96"/>
    </row>
    <row r="979" spans="1:6" ht="13.5">
      <c r="A979" s="86"/>
      <c r="B979" s="91"/>
      <c r="C979" s="92"/>
      <c r="D979" s="82"/>
      <c r="E979" s="82"/>
      <c r="F979" s="96"/>
    </row>
    <row r="980" spans="1:6" ht="13.5">
      <c r="A980" s="86"/>
      <c r="B980" s="91"/>
      <c r="C980" s="92"/>
      <c r="D980" s="82"/>
      <c r="E980" s="82"/>
      <c r="F980" s="96"/>
    </row>
    <row r="981" spans="1:6" ht="13.5">
      <c r="A981" s="86"/>
      <c r="B981" s="91"/>
      <c r="C981" s="92"/>
      <c r="D981" s="82"/>
      <c r="E981" s="82"/>
      <c r="F981" s="96"/>
    </row>
    <row r="982" spans="1:6" ht="13.5">
      <c r="A982" s="86"/>
      <c r="B982" s="91"/>
      <c r="C982" s="92"/>
      <c r="D982" s="82"/>
      <c r="E982" s="82"/>
      <c r="F982" s="96"/>
    </row>
    <row r="983" spans="1:6" ht="13.5">
      <c r="A983" s="86"/>
      <c r="B983" s="91"/>
      <c r="C983" s="92"/>
      <c r="D983" s="82"/>
      <c r="E983" s="82"/>
      <c r="F983" s="96"/>
    </row>
    <row r="984" spans="1:6" ht="13.5">
      <c r="A984" s="86"/>
      <c r="B984" s="91"/>
      <c r="C984" s="92"/>
      <c r="D984" s="82"/>
      <c r="E984" s="82"/>
      <c r="F984" s="96"/>
    </row>
    <row r="985" spans="1:6" ht="13.5">
      <c r="A985" s="86"/>
      <c r="B985" s="91"/>
      <c r="C985" s="92"/>
      <c r="D985" s="82"/>
      <c r="E985" s="82"/>
      <c r="F985" s="96"/>
    </row>
    <row r="986" spans="1:6" ht="13.5">
      <c r="A986" s="86"/>
      <c r="B986" s="91"/>
      <c r="C986" s="92"/>
      <c r="D986" s="82"/>
      <c r="E986" s="82"/>
      <c r="F986" s="96"/>
    </row>
    <row r="987" spans="1:6" ht="13.5">
      <c r="A987" s="86"/>
      <c r="B987" s="91"/>
      <c r="C987" s="92"/>
      <c r="D987" s="82"/>
      <c r="E987" s="82"/>
      <c r="F987" s="96"/>
    </row>
    <row r="988" spans="1:6" ht="13.5">
      <c r="A988" s="86"/>
      <c r="B988" s="91"/>
      <c r="C988" s="92"/>
      <c r="D988" s="82"/>
      <c r="E988" s="82"/>
      <c r="F988" s="96"/>
    </row>
    <row r="989" spans="1:6" ht="13.5">
      <c r="A989" s="86"/>
      <c r="B989" s="91"/>
      <c r="C989" s="92"/>
      <c r="D989" s="82"/>
      <c r="E989" s="82"/>
      <c r="F989" s="96"/>
    </row>
    <row r="990" spans="1:6" ht="13.5">
      <c r="A990" s="86"/>
      <c r="B990" s="91"/>
      <c r="C990" s="92"/>
      <c r="D990" s="82"/>
      <c r="E990" s="82"/>
      <c r="F990" s="96"/>
    </row>
    <row r="991" spans="1:6" ht="13.5">
      <c r="A991" s="86"/>
      <c r="B991" s="91"/>
      <c r="C991" s="92"/>
      <c r="D991" s="82"/>
      <c r="E991" s="82"/>
      <c r="F991" s="96"/>
    </row>
    <row r="992" spans="1:6" ht="13.5">
      <c r="A992" s="86"/>
      <c r="B992" s="91"/>
      <c r="C992" s="92"/>
      <c r="D992" s="82"/>
      <c r="E992" s="82"/>
      <c r="F992" s="96"/>
    </row>
    <row r="993" spans="1:6" ht="13.5">
      <c r="A993" s="86"/>
      <c r="B993" s="91"/>
      <c r="C993" s="92"/>
      <c r="D993" s="82"/>
      <c r="E993" s="82"/>
      <c r="F993" s="96"/>
    </row>
    <row r="994" spans="1:6" ht="13.5">
      <c r="A994" s="86"/>
      <c r="B994" s="91"/>
      <c r="C994" s="92"/>
      <c r="D994" s="82"/>
      <c r="E994" s="82"/>
      <c r="F994" s="96"/>
    </row>
    <row r="995" spans="1:6" ht="13.5">
      <c r="A995" s="86"/>
      <c r="B995" s="91"/>
      <c r="C995" s="92"/>
      <c r="D995" s="82"/>
      <c r="E995" s="82"/>
      <c r="F995" s="96"/>
    </row>
    <row r="996" spans="1:6" ht="13.5">
      <c r="A996" s="86"/>
      <c r="B996" s="91"/>
      <c r="C996" s="92"/>
      <c r="D996" s="82"/>
      <c r="E996" s="82"/>
      <c r="F996" s="96"/>
    </row>
    <row r="997" spans="1:6" ht="13.5">
      <c r="A997" s="86"/>
      <c r="B997" s="91"/>
      <c r="C997" s="92"/>
      <c r="D997" s="82"/>
      <c r="E997" s="82"/>
      <c r="F997" s="96"/>
    </row>
    <row r="998" spans="1:6" ht="13.5">
      <c r="A998" s="86"/>
      <c r="B998" s="91"/>
      <c r="C998" s="92"/>
      <c r="D998" s="82"/>
      <c r="E998" s="82"/>
      <c r="F998" s="96"/>
    </row>
    <row r="999" spans="1:6" ht="13.5">
      <c r="A999" s="86"/>
      <c r="B999" s="91"/>
      <c r="C999" s="92"/>
      <c r="D999" s="82"/>
      <c r="E999" s="82"/>
      <c r="F999" s="96"/>
    </row>
    <row r="1000" spans="1:6" ht="13.5">
      <c r="A1000" s="86"/>
      <c r="B1000" s="91"/>
      <c r="C1000" s="92"/>
      <c r="D1000" s="82"/>
      <c r="E1000" s="82"/>
      <c r="F1000" s="96"/>
    </row>
    <row r="1001" spans="1:6" ht="13.5">
      <c r="A1001" s="86"/>
      <c r="B1001" s="91"/>
      <c r="C1001" s="92"/>
      <c r="D1001" s="82"/>
      <c r="E1001" s="82"/>
      <c r="F1001" s="96"/>
    </row>
    <row r="1002" spans="1:6" ht="13.5">
      <c r="A1002" s="86"/>
      <c r="B1002" s="91"/>
      <c r="C1002" s="92"/>
      <c r="D1002" s="82"/>
      <c r="E1002" s="82"/>
      <c r="F1002" s="96"/>
    </row>
    <row r="1003" spans="1:6" ht="13.5">
      <c r="A1003" s="86"/>
      <c r="B1003" s="91"/>
      <c r="C1003" s="92"/>
      <c r="D1003" s="82"/>
      <c r="E1003" s="82"/>
      <c r="F1003" s="96"/>
    </row>
    <row r="1004" spans="1:6" ht="13.5">
      <c r="A1004" s="86"/>
      <c r="B1004" s="91"/>
      <c r="C1004" s="92"/>
      <c r="D1004" s="82"/>
      <c r="E1004" s="82"/>
      <c r="F1004" s="96"/>
    </row>
    <row r="1005" spans="1:6" ht="13.5">
      <c r="A1005" s="86"/>
      <c r="B1005" s="91"/>
      <c r="C1005" s="92"/>
      <c r="D1005" s="82"/>
      <c r="E1005" s="82"/>
      <c r="F1005" s="96"/>
    </row>
    <row r="1006" spans="1:6" ht="13.5">
      <c r="A1006" s="86"/>
      <c r="B1006" s="91"/>
      <c r="C1006" s="92"/>
      <c r="D1006" s="82"/>
      <c r="E1006" s="82"/>
      <c r="F1006" s="96"/>
    </row>
    <row r="1007" spans="1:6" ht="13.5">
      <c r="A1007" s="86"/>
      <c r="B1007" s="91"/>
      <c r="C1007" s="92"/>
      <c r="D1007" s="82"/>
      <c r="E1007" s="82"/>
      <c r="F1007" s="96"/>
    </row>
    <row r="1008" spans="1:6" ht="13.5">
      <c r="A1008" s="86"/>
      <c r="B1008" s="91"/>
      <c r="C1008" s="92"/>
      <c r="D1008" s="82"/>
      <c r="E1008" s="82"/>
      <c r="F1008" s="96"/>
    </row>
    <row r="1009" spans="1:6" ht="13.5">
      <c r="A1009" s="86"/>
      <c r="B1009" s="91"/>
      <c r="C1009" s="92"/>
      <c r="D1009" s="82"/>
      <c r="E1009" s="82"/>
      <c r="F1009" s="96"/>
    </row>
    <row r="1010" spans="1:6" ht="13.5">
      <c r="A1010" s="86"/>
      <c r="B1010" s="91"/>
      <c r="C1010" s="92"/>
      <c r="D1010" s="82"/>
      <c r="E1010" s="82"/>
      <c r="F1010" s="96"/>
    </row>
    <row r="1011" spans="1:6" ht="13.5">
      <c r="A1011" s="86"/>
      <c r="B1011" s="91"/>
      <c r="C1011" s="92"/>
      <c r="D1011" s="82"/>
      <c r="E1011" s="82"/>
      <c r="F1011" s="96"/>
    </row>
    <row r="1012" spans="1:6" ht="13.5">
      <c r="A1012" s="86"/>
      <c r="B1012" s="91"/>
      <c r="C1012" s="92"/>
      <c r="D1012" s="82"/>
      <c r="E1012" s="82"/>
      <c r="F1012" s="96"/>
    </row>
    <row r="1013" spans="1:6" ht="13.5">
      <c r="A1013" s="86"/>
      <c r="B1013" s="91"/>
      <c r="C1013" s="92"/>
      <c r="D1013" s="82"/>
      <c r="E1013" s="82"/>
      <c r="F1013" s="96"/>
    </row>
    <row r="1014" spans="1:6" ht="13.5">
      <c r="A1014" s="86"/>
      <c r="B1014" s="91"/>
      <c r="C1014" s="92"/>
      <c r="D1014" s="82"/>
      <c r="E1014" s="82"/>
      <c r="F1014" s="96"/>
    </row>
    <row r="1015" spans="1:6" ht="13.5">
      <c r="A1015" s="86"/>
      <c r="B1015" s="91"/>
      <c r="C1015" s="92"/>
      <c r="D1015" s="82"/>
      <c r="E1015" s="82"/>
      <c r="F1015" s="96"/>
    </row>
    <row r="1016" spans="1:6" ht="13.5">
      <c r="A1016" s="86"/>
      <c r="B1016" s="91"/>
      <c r="C1016" s="92"/>
      <c r="D1016" s="82"/>
      <c r="E1016" s="82"/>
      <c r="F1016" s="96"/>
    </row>
    <row r="1017" spans="1:6" ht="13.5">
      <c r="A1017" s="86"/>
      <c r="B1017" s="91"/>
      <c r="C1017" s="92"/>
      <c r="D1017" s="82"/>
      <c r="E1017" s="82"/>
      <c r="F1017" s="96"/>
    </row>
    <row r="1018" spans="1:6" ht="13.5">
      <c r="A1018" s="86"/>
      <c r="B1018" s="91"/>
      <c r="C1018" s="92"/>
      <c r="D1018" s="82"/>
      <c r="E1018" s="82"/>
      <c r="F1018" s="96"/>
    </row>
    <row r="1019" spans="1:6" ht="13.5">
      <c r="A1019" s="86"/>
      <c r="B1019" s="91"/>
      <c r="C1019" s="92"/>
      <c r="D1019" s="82"/>
      <c r="E1019" s="82"/>
      <c r="F1019" s="96"/>
    </row>
    <row r="1020" spans="1:6" ht="13.5">
      <c r="A1020" s="86"/>
      <c r="B1020" s="91"/>
      <c r="C1020" s="92"/>
      <c r="D1020" s="82"/>
      <c r="E1020" s="82"/>
      <c r="F1020" s="96"/>
    </row>
    <row r="1021" spans="1:6" ht="13.5">
      <c r="A1021" s="86"/>
      <c r="B1021" s="91"/>
      <c r="C1021" s="92"/>
      <c r="D1021" s="82"/>
      <c r="E1021" s="82"/>
      <c r="F1021" s="96"/>
    </row>
    <row r="1022" spans="1:6" ht="13.5">
      <c r="A1022" s="86"/>
      <c r="B1022" s="91"/>
      <c r="C1022" s="92"/>
      <c r="D1022" s="82"/>
      <c r="E1022" s="82"/>
      <c r="F1022" s="96"/>
    </row>
    <row r="1023" spans="1:6" ht="13.5">
      <c r="A1023" s="86"/>
      <c r="B1023" s="91"/>
      <c r="C1023" s="92"/>
      <c r="D1023" s="82"/>
      <c r="E1023" s="82"/>
      <c r="F1023" s="96"/>
    </row>
    <row r="1024" spans="1:6" ht="13.5">
      <c r="A1024" s="86"/>
      <c r="B1024" s="91"/>
      <c r="C1024" s="92"/>
      <c r="D1024" s="82"/>
      <c r="E1024" s="82"/>
      <c r="F1024" s="96"/>
    </row>
    <row r="1025" spans="1:6" ht="13.5">
      <c r="A1025" s="86"/>
      <c r="B1025" s="91"/>
      <c r="C1025" s="92"/>
      <c r="D1025" s="82"/>
      <c r="E1025" s="82"/>
      <c r="F1025" s="96"/>
    </row>
    <row r="1026" spans="1:6" ht="13.5">
      <c r="A1026" s="86"/>
      <c r="B1026" s="91"/>
      <c r="C1026" s="92"/>
      <c r="D1026" s="82"/>
      <c r="E1026" s="82"/>
      <c r="F1026" s="96"/>
    </row>
    <row r="1027" spans="1:6" ht="13.5">
      <c r="A1027" s="86"/>
      <c r="B1027" s="91"/>
      <c r="C1027" s="92"/>
      <c r="D1027" s="82"/>
      <c r="E1027" s="82"/>
      <c r="F1027" s="96"/>
    </row>
    <row r="1028" spans="1:6" ht="13.5">
      <c r="A1028" s="86"/>
      <c r="B1028" s="91"/>
      <c r="C1028" s="92"/>
      <c r="D1028" s="82"/>
      <c r="E1028" s="82"/>
      <c r="F1028" s="96"/>
    </row>
    <row r="1029" spans="1:6" ht="13.5">
      <c r="A1029" s="86"/>
      <c r="B1029" s="91"/>
      <c r="C1029" s="92"/>
      <c r="D1029" s="82"/>
      <c r="E1029" s="82"/>
      <c r="F1029" s="96"/>
    </row>
    <row r="1030" spans="1:6" ht="13.5">
      <c r="A1030" s="86"/>
      <c r="B1030" s="91"/>
      <c r="C1030" s="92"/>
      <c r="D1030" s="82"/>
      <c r="E1030" s="82"/>
      <c r="F1030" s="96"/>
    </row>
    <row r="1031" spans="1:6" ht="13.5">
      <c r="A1031" s="86"/>
      <c r="B1031" s="91"/>
      <c r="C1031" s="92"/>
      <c r="D1031" s="82"/>
      <c r="E1031" s="82"/>
      <c r="F1031" s="96"/>
    </row>
    <row r="1032" spans="1:6" ht="13.5">
      <c r="A1032" s="86"/>
      <c r="B1032" s="91"/>
      <c r="C1032" s="92"/>
      <c r="D1032" s="82"/>
      <c r="E1032" s="82"/>
      <c r="F1032" s="96"/>
    </row>
    <row r="1033" spans="1:6" ht="13.5">
      <c r="A1033" s="86"/>
      <c r="B1033" s="91"/>
      <c r="C1033" s="92"/>
      <c r="D1033" s="82"/>
      <c r="E1033" s="82"/>
      <c r="F1033" s="96"/>
    </row>
    <row r="1034" spans="1:6" ht="13.5">
      <c r="A1034" s="86"/>
      <c r="B1034" s="91"/>
      <c r="C1034" s="92"/>
      <c r="D1034" s="82"/>
      <c r="E1034" s="82"/>
      <c r="F1034" s="96"/>
    </row>
    <row r="1035" spans="1:6" ht="13.5">
      <c r="A1035" s="86"/>
      <c r="B1035" s="91"/>
      <c r="C1035" s="92"/>
      <c r="D1035" s="82"/>
      <c r="E1035" s="82"/>
      <c r="F1035" s="96"/>
    </row>
    <row r="1036" spans="1:6" ht="13.5">
      <c r="A1036" s="86"/>
      <c r="B1036" s="91"/>
      <c r="C1036" s="92"/>
      <c r="D1036" s="82"/>
      <c r="E1036" s="82"/>
      <c r="F1036" s="96"/>
    </row>
    <row r="1037" spans="1:6" ht="13.5">
      <c r="A1037" s="86"/>
      <c r="B1037" s="91"/>
      <c r="C1037" s="92"/>
      <c r="D1037" s="82"/>
      <c r="E1037" s="82"/>
      <c r="F1037" s="96"/>
    </row>
    <row r="1038" spans="1:6" ht="13.5">
      <c r="A1038" s="86"/>
      <c r="B1038" s="91"/>
      <c r="C1038" s="92"/>
      <c r="D1038" s="82"/>
      <c r="E1038" s="82"/>
      <c r="F1038" s="96"/>
    </row>
    <row r="1039" spans="1:6" ht="13.5">
      <c r="A1039" s="86"/>
      <c r="B1039" s="91"/>
      <c r="C1039" s="92"/>
      <c r="D1039" s="82"/>
      <c r="E1039" s="82"/>
      <c r="F1039" s="96"/>
    </row>
    <row r="1040" spans="1:6" ht="13.5">
      <c r="A1040" s="86"/>
      <c r="B1040" s="91"/>
      <c r="C1040" s="92"/>
      <c r="D1040" s="82"/>
      <c r="E1040" s="82"/>
      <c r="F1040" s="96"/>
    </row>
    <row r="1041" spans="1:6" ht="13.5">
      <c r="A1041" s="86"/>
      <c r="B1041" s="91"/>
      <c r="C1041" s="92"/>
      <c r="D1041" s="82"/>
      <c r="E1041" s="82"/>
      <c r="F1041" s="96"/>
    </row>
    <row r="1042" spans="1:6" ht="13.5">
      <c r="A1042" s="86"/>
      <c r="B1042" s="91"/>
      <c r="C1042" s="92"/>
      <c r="D1042" s="82"/>
      <c r="E1042" s="82"/>
      <c r="F1042" s="96"/>
    </row>
    <row r="1043" spans="1:6" ht="13.5">
      <c r="A1043" s="86"/>
      <c r="B1043" s="91"/>
      <c r="C1043" s="92"/>
      <c r="D1043" s="82"/>
      <c r="E1043" s="82"/>
      <c r="F1043" s="96"/>
    </row>
    <row r="1044" spans="1:6" ht="13.5">
      <c r="A1044" s="86"/>
      <c r="B1044" s="91"/>
      <c r="C1044" s="92"/>
      <c r="D1044" s="82"/>
      <c r="E1044" s="82"/>
      <c r="F1044" s="96"/>
    </row>
    <row r="1045" spans="1:6" ht="13.5">
      <c r="A1045" s="86"/>
      <c r="B1045" s="91"/>
      <c r="C1045" s="92"/>
      <c r="D1045" s="82"/>
      <c r="E1045" s="82"/>
      <c r="F1045" s="96"/>
    </row>
    <row r="1046" spans="1:6" ht="13.5">
      <c r="A1046" s="86"/>
      <c r="B1046" s="91"/>
      <c r="C1046" s="92"/>
      <c r="D1046" s="82"/>
      <c r="E1046" s="82"/>
      <c r="F1046" s="96"/>
    </row>
    <row r="1047" spans="1:6" ht="13.5">
      <c r="A1047" s="86"/>
      <c r="B1047" s="91"/>
      <c r="C1047" s="92"/>
      <c r="D1047" s="82"/>
      <c r="E1047" s="82"/>
      <c r="F1047" s="96"/>
    </row>
    <row r="1048" spans="1:6" ht="13.5">
      <c r="A1048" s="86"/>
      <c r="B1048" s="91"/>
      <c r="C1048" s="92"/>
      <c r="D1048" s="82"/>
      <c r="E1048" s="82"/>
      <c r="F1048" s="96"/>
    </row>
    <row r="1049" spans="1:6" ht="13.5">
      <c r="A1049" s="86"/>
      <c r="B1049" s="91"/>
      <c r="C1049" s="92"/>
      <c r="D1049" s="82"/>
      <c r="E1049" s="82"/>
      <c r="F1049" s="96"/>
    </row>
    <row r="1050" spans="1:6" ht="13.5">
      <c r="A1050" s="86"/>
      <c r="B1050" s="91"/>
      <c r="C1050" s="92"/>
      <c r="D1050" s="82"/>
      <c r="E1050" s="82"/>
      <c r="F1050" s="96"/>
    </row>
    <row r="1051" spans="1:6" ht="13.5">
      <c r="A1051" s="86"/>
      <c r="B1051" s="91"/>
      <c r="C1051" s="92"/>
      <c r="D1051" s="82"/>
      <c r="E1051" s="82"/>
      <c r="F1051" s="96"/>
    </row>
    <row r="1052" spans="1:6" ht="13.5">
      <c r="A1052" s="86"/>
      <c r="B1052" s="91"/>
      <c r="C1052" s="92"/>
      <c r="D1052" s="82"/>
      <c r="E1052" s="82"/>
      <c r="F1052" s="96"/>
    </row>
    <row r="1053" spans="1:6" ht="13.5">
      <c r="A1053" s="86"/>
      <c r="B1053" s="91"/>
      <c r="C1053" s="92"/>
      <c r="D1053" s="82"/>
      <c r="E1053" s="82"/>
      <c r="F1053" s="96"/>
    </row>
    <row r="1054" spans="1:6" ht="13.5">
      <c r="A1054" s="86"/>
      <c r="B1054" s="91"/>
      <c r="C1054" s="92"/>
      <c r="D1054" s="82"/>
      <c r="E1054" s="82"/>
      <c r="F1054" s="96"/>
    </row>
    <row r="1055" spans="1:6" ht="13.5">
      <c r="A1055" s="86"/>
      <c r="B1055" s="91"/>
      <c r="C1055" s="92"/>
      <c r="D1055" s="82"/>
      <c r="E1055" s="82"/>
      <c r="F1055" s="96"/>
    </row>
    <row r="1056" spans="1:6" ht="13.5">
      <c r="A1056" s="86"/>
      <c r="B1056" s="91"/>
      <c r="C1056" s="92"/>
      <c r="D1056" s="82"/>
      <c r="E1056" s="82"/>
      <c r="F1056" s="96"/>
    </row>
    <row r="1057" spans="1:6" ht="13.5">
      <c r="A1057" s="86"/>
      <c r="B1057" s="91"/>
      <c r="C1057" s="92"/>
      <c r="D1057" s="82"/>
      <c r="E1057" s="82"/>
      <c r="F1057" s="96"/>
    </row>
    <row r="1058" spans="1:6" ht="13.5">
      <c r="A1058" s="86"/>
      <c r="B1058" s="91"/>
      <c r="C1058" s="92"/>
      <c r="D1058" s="82"/>
      <c r="E1058" s="82"/>
      <c r="F1058" s="96"/>
    </row>
    <row r="1059" spans="1:6" ht="13.5">
      <c r="A1059" s="86"/>
      <c r="B1059" s="91"/>
      <c r="C1059" s="92"/>
      <c r="D1059" s="82"/>
      <c r="E1059" s="82"/>
      <c r="F1059" s="96"/>
    </row>
    <row r="1060" spans="1:6" ht="13.5">
      <c r="A1060" s="86"/>
      <c r="B1060" s="91"/>
      <c r="C1060" s="92"/>
      <c r="D1060" s="82"/>
      <c r="E1060" s="82"/>
      <c r="F1060" s="96"/>
    </row>
    <row r="1061" spans="1:6" ht="13.5">
      <c r="A1061" s="86"/>
      <c r="B1061" s="91"/>
      <c r="C1061" s="92"/>
      <c r="D1061" s="82"/>
      <c r="E1061" s="82"/>
      <c r="F1061" s="96"/>
    </row>
    <row r="1062" spans="1:6" ht="13.5">
      <c r="A1062" s="86"/>
      <c r="B1062" s="91"/>
      <c r="C1062" s="92"/>
      <c r="D1062" s="82"/>
      <c r="E1062" s="82"/>
      <c r="F1062" s="96"/>
    </row>
    <row r="1063" spans="1:6" ht="13.5">
      <c r="A1063" s="86"/>
      <c r="B1063" s="91"/>
      <c r="C1063" s="92"/>
      <c r="D1063" s="82"/>
      <c r="E1063" s="82"/>
      <c r="F1063" s="96"/>
    </row>
    <row r="1064" spans="1:6" ht="13.5">
      <c r="A1064" s="86"/>
      <c r="B1064" s="91"/>
      <c r="C1064" s="92"/>
      <c r="D1064" s="82"/>
      <c r="E1064" s="82"/>
      <c r="F1064" s="96"/>
    </row>
    <row r="1065" spans="1:6" ht="13.5">
      <c r="A1065" s="86"/>
      <c r="B1065" s="91"/>
      <c r="C1065" s="92"/>
      <c r="D1065" s="82"/>
      <c r="E1065" s="82"/>
      <c r="F1065" s="96"/>
    </row>
    <row r="1066" spans="1:6" ht="13.5">
      <c r="A1066" s="86"/>
      <c r="B1066" s="91"/>
      <c r="C1066" s="92"/>
      <c r="D1066" s="82"/>
      <c r="E1066" s="82"/>
      <c r="F1066" s="96"/>
    </row>
    <row r="1067" spans="1:6" ht="13.5">
      <c r="A1067" s="86"/>
      <c r="B1067" s="91"/>
      <c r="C1067" s="92"/>
      <c r="D1067" s="82"/>
      <c r="E1067" s="82"/>
      <c r="F1067" s="96"/>
    </row>
    <row r="1068" spans="1:6" ht="13.5">
      <c r="A1068" s="86"/>
      <c r="B1068" s="91"/>
      <c r="C1068" s="92"/>
      <c r="D1068" s="82"/>
      <c r="E1068" s="82"/>
      <c r="F1068" s="96"/>
    </row>
    <row r="1069" spans="1:6" ht="13.5">
      <c r="A1069" s="86"/>
      <c r="B1069" s="91"/>
      <c r="C1069" s="92"/>
      <c r="D1069" s="82"/>
      <c r="E1069" s="82"/>
      <c r="F1069" s="96"/>
    </row>
    <row r="1070" spans="1:6" ht="13.5">
      <c r="A1070" s="86"/>
      <c r="B1070" s="91"/>
      <c r="C1070" s="92"/>
      <c r="D1070" s="82"/>
      <c r="E1070" s="82"/>
      <c r="F1070" s="96"/>
    </row>
    <row r="1071" spans="1:6" ht="13.5">
      <c r="A1071" s="86"/>
      <c r="B1071" s="91"/>
      <c r="C1071" s="92"/>
      <c r="D1071" s="82"/>
      <c r="E1071" s="82"/>
      <c r="F1071" s="96"/>
    </row>
    <row r="1072" spans="1:6" ht="13.5">
      <c r="A1072" s="86"/>
      <c r="B1072" s="91"/>
      <c r="C1072" s="92"/>
      <c r="D1072" s="82"/>
      <c r="E1072" s="82"/>
      <c r="F1072" s="96"/>
    </row>
    <row r="1073" spans="1:6" ht="13.5">
      <c r="A1073" s="86"/>
      <c r="B1073" s="91"/>
      <c r="C1073" s="92"/>
      <c r="D1073" s="82"/>
      <c r="E1073" s="82"/>
      <c r="F1073" s="96"/>
    </row>
    <row r="1074" spans="1:6" ht="13.5">
      <c r="A1074" s="86"/>
      <c r="B1074" s="91"/>
      <c r="C1074" s="92"/>
      <c r="D1074" s="82"/>
      <c r="E1074" s="82"/>
      <c r="F1074" s="96"/>
    </row>
    <row r="1075" spans="1:6" ht="13.5">
      <c r="A1075" s="86"/>
      <c r="B1075" s="91"/>
      <c r="C1075" s="92"/>
      <c r="D1075" s="82"/>
      <c r="E1075" s="82"/>
      <c r="F1075" s="96"/>
    </row>
    <row r="1076" spans="1:6" ht="13.5">
      <c r="A1076" s="86"/>
      <c r="B1076" s="91"/>
      <c r="C1076" s="92"/>
      <c r="D1076" s="82"/>
      <c r="E1076" s="82"/>
      <c r="F1076" s="96"/>
    </row>
    <row r="1077" spans="1:6" ht="13.5">
      <c r="A1077" s="86"/>
      <c r="B1077" s="91"/>
      <c r="C1077" s="92"/>
      <c r="D1077" s="82"/>
      <c r="E1077" s="82"/>
      <c r="F1077" s="96"/>
    </row>
    <row r="1078" spans="1:6" ht="13.5">
      <c r="A1078" s="86"/>
      <c r="B1078" s="91"/>
      <c r="C1078" s="92"/>
      <c r="D1078" s="82"/>
      <c r="E1078" s="82"/>
      <c r="F1078" s="96"/>
    </row>
    <row r="1079" spans="1:6" ht="13.5">
      <c r="A1079" s="86"/>
      <c r="B1079" s="91"/>
      <c r="C1079" s="92"/>
      <c r="D1079" s="82"/>
      <c r="E1079" s="82"/>
      <c r="F1079" s="96"/>
    </row>
    <row r="1080" spans="1:6" ht="13.5">
      <c r="A1080" s="86"/>
      <c r="B1080" s="91"/>
      <c r="C1080" s="92"/>
      <c r="D1080" s="82"/>
      <c r="E1080" s="82"/>
      <c r="F1080" s="96"/>
    </row>
    <row r="1081" spans="1:6" ht="13.5">
      <c r="A1081" s="86"/>
      <c r="B1081" s="91"/>
      <c r="C1081" s="92"/>
      <c r="D1081" s="82"/>
      <c r="E1081" s="82"/>
      <c r="F1081" s="96"/>
    </row>
    <row r="1082" spans="1:6" ht="13.5">
      <c r="A1082" s="86"/>
      <c r="B1082" s="91"/>
      <c r="C1082" s="92"/>
      <c r="D1082" s="82"/>
      <c r="E1082" s="82"/>
      <c r="F1082" s="96"/>
    </row>
    <row r="1083" spans="1:6" ht="13.5">
      <c r="A1083" s="86"/>
      <c r="B1083" s="91"/>
      <c r="C1083" s="92"/>
      <c r="D1083" s="82"/>
      <c r="E1083" s="82"/>
      <c r="F1083" s="96"/>
    </row>
    <row r="1084" spans="1:6" ht="13.5">
      <c r="A1084" s="86"/>
      <c r="B1084" s="91"/>
      <c r="C1084" s="92"/>
      <c r="D1084" s="82"/>
      <c r="E1084" s="82"/>
      <c r="F1084" s="96"/>
    </row>
    <row r="1085" spans="1:6" ht="13.5">
      <c r="A1085" s="86"/>
      <c r="B1085" s="91"/>
      <c r="C1085" s="92"/>
      <c r="D1085" s="82"/>
      <c r="E1085" s="82"/>
      <c r="F1085" s="96"/>
    </row>
    <row r="1086" spans="1:6" ht="13.5">
      <c r="A1086" s="86"/>
      <c r="B1086" s="91"/>
      <c r="C1086" s="92"/>
      <c r="D1086" s="82"/>
      <c r="E1086" s="82"/>
      <c r="F1086" s="96"/>
    </row>
    <row r="1087" spans="1:6" ht="13.5">
      <c r="A1087" s="86"/>
      <c r="B1087" s="91"/>
      <c r="C1087" s="92"/>
      <c r="D1087" s="82"/>
      <c r="E1087" s="82"/>
      <c r="F1087" s="96"/>
    </row>
    <row r="1088" spans="1:6" ht="13.5">
      <c r="A1088" s="86"/>
      <c r="B1088" s="91"/>
      <c r="C1088" s="92"/>
      <c r="D1088" s="82"/>
      <c r="E1088" s="82"/>
      <c r="F1088" s="96"/>
    </row>
    <row r="1089" spans="1:6" ht="13.5">
      <c r="A1089" s="86"/>
      <c r="B1089" s="91"/>
      <c r="C1089" s="92"/>
      <c r="D1089" s="82"/>
      <c r="E1089" s="82"/>
      <c r="F1089" s="96"/>
    </row>
    <row r="1090" spans="1:6" ht="13.5">
      <c r="A1090" s="86"/>
      <c r="B1090" s="91"/>
      <c r="C1090" s="92"/>
      <c r="D1090" s="82"/>
      <c r="E1090" s="82"/>
      <c r="F1090" s="96"/>
    </row>
    <row r="1091" spans="1:6" ht="13.5">
      <c r="A1091" s="86"/>
      <c r="B1091" s="91"/>
      <c r="C1091" s="92"/>
      <c r="D1091" s="82"/>
      <c r="E1091" s="82"/>
      <c r="F1091" s="96"/>
    </row>
    <row r="1092" spans="1:6" ht="13.5">
      <c r="A1092" s="86"/>
      <c r="B1092" s="91"/>
      <c r="C1092" s="92"/>
      <c r="D1092" s="82"/>
      <c r="E1092" s="82"/>
      <c r="F1092" s="96"/>
    </row>
    <row r="1093" spans="1:6" ht="13.5">
      <c r="A1093" s="86"/>
      <c r="B1093" s="91"/>
      <c r="C1093" s="92"/>
      <c r="D1093" s="82"/>
      <c r="E1093" s="82"/>
      <c r="F1093" s="96"/>
    </row>
    <row r="1094" spans="1:6" ht="13.5">
      <c r="A1094" s="86"/>
      <c r="B1094" s="91"/>
      <c r="C1094" s="92"/>
      <c r="D1094" s="82"/>
      <c r="E1094" s="82"/>
      <c r="F1094" s="96"/>
    </row>
    <row r="1095" spans="1:6" ht="13.5">
      <c r="A1095" s="86"/>
      <c r="B1095" s="91"/>
      <c r="C1095" s="92"/>
      <c r="D1095" s="82"/>
      <c r="E1095" s="82"/>
      <c r="F1095" s="96"/>
    </row>
    <row r="1096" spans="1:6" ht="13.5">
      <c r="A1096" s="86"/>
      <c r="B1096" s="91"/>
      <c r="C1096" s="92"/>
      <c r="D1096" s="82"/>
      <c r="E1096" s="82"/>
      <c r="F1096" s="96"/>
    </row>
    <row r="1097" spans="1:6" ht="13.5">
      <c r="A1097" s="86"/>
      <c r="B1097" s="91"/>
      <c r="C1097" s="92"/>
      <c r="D1097" s="82"/>
      <c r="E1097" s="82"/>
      <c r="F1097" s="96"/>
    </row>
    <row r="1098" spans="1:6" ht="13.5">
      <c r="A1098" s="86"/>
      <c r="B1098" s="91"/>
      <c r="C1098" s="92"/>
      <c r="D1098" s="82"/>
      <c r="E1098" s="82"/>
      <c r="F1098" s="96"/>
    </row>
    <row r="1099" spans="1:6" ht="13.5">
      <c r="A1099" s="86"/>
      <c r="B1099" s="91"/>
      <c r="C1099" s="92"/>
      <c r="D1099" s="82"/>
      <c r="E1099" s="82"/>
      <c r="F1099" s="96"/>
    </row>
    <row r="1100" spans="1:6" ht="13.5">
      <c r="A1100" s="86"/>
      <c r="B1100" s="91"/>
      <c r="C1100" s="92"/>
      <c r="D1100" s="82"/>
      <c r="E1100" s="82"/>
      <c r="F1100" s="96"/>
    </row>
    <row r="1101" spans="1:6" ht="13.5">
      <c r="A1101" s="86"/>
      <c r="B1101" s="91"/>
      <c r="C1101" s="92"/>
      <c r="D1101" s="82"/>
      <c r="E1101" s="82"/>
      <c r="F1101" s="96"/>
    </row>
    <row r="1102" spans="1:6" ht="13.5">
      <c r="A1102" s="86"/>
      <c r="B1102" s="91"/>
      <c r="C1102" s="92"/>
      <c r="D1102" s="82"/>
      <c r="E1102" s="82"/>
      <c r="F1102" s="96"/>
    </row>
    <row r="1103" spans="1:6" ht="13.5">
      <c r="A1103" s="86"/>
      <c r="B1103" s="91"/>
      <c r="C1103" s="92"/>
      <c r="D1103" s="82"/>
      <c r="E1103" s="82"/>
      <c r="F1103" s="96"/>
    </row>
    <row r="1104" spans="1:6" ht="13.5">
      <c r="A1104" s="86"/>
      <c r="B1104" s="91"/>
      <c r="C1104" s="92"/>
      <c r="D1104" s="82"/>
      <c r="E1104" s="82"/>
      <c r="F1104" s="96"/>
    </row>
    <row r="1105" spans="1:6" ht="13.5">
      <c r="A1105" s="86"/>
      <c r="B1105" s="91"/>
      <c r="C1105" s="92"/>
      <c r="D1105" s="82"/>
      <c r="E1105" s="82"/>
      <c r="F1105" s="96"/>
    </row>
    <row r="1106" spans="1:6" ht="13.5">
      <c r="A1106" s="86"/>
      <c r="B1106" s="91"/>
      <c r="C1106" s="92"/>
      <c r="D1106" s="82"/>
      <c r="E1106" s="82"/>
      <c r="F1106" s="96"/>
    </row>
    <row r="1107" spans="1:6" ht="13.5">
      <c r="A1107" s="86"/>
      <c r="B1107" s="91"/>
      <c r="C1107" s="92"/>
      <c r="D1107" s="82"/>
      <c r="E1107" s="82"/>
      <c r="F1107" s="96"/>
    </row>
    <row r="1108" spans="1:6" ht="13.5">
      <c r="A1108" s="86"/>
      <c r="B1108" s="91"/>
      <c r="C1108" s="92"/>
      <c r="D1108" s="82"/>
      <c r="E1108" s="82"/>
      <c r="F1108" s="96"/>
    </row>
    <row r="1109" spans="1:6" ht="13.5">
      <c r="A1109" s="86"/>
      <c r="B1109" s="91"/>
      <c r="C1109" s="92"/>
      <c r="D1109" s="82"/>
      <c r="E1109" s="82"/>
      <c r="F1109" s="96"/>
    </row>
    <row r="1110" spans="1:6" ht="13.5">
      <c r="A1110" s="86"/>
      <c r="B1110" s="91"/>
      <c r="C1110" s="92"/>
      <c r="D1110" s="82"/>
      <c r="E1110" s="82"/>
      <c r="F1110" s="96"/>
    </row>
    <row r="1111" spans="1:6" ht="13.5">
      <c r="A1111" s="86"/>
      <c r="B1111" s="91"/>
      <c r="C1111" s="92"/>
      <c r="D1111" s="82"/>
      <c r="E1111" s="82"/>
      <c r="F1111" s="96"/>
    </row>
    <row r="1112" spans="1:6" ht="13.5">
      <c r="A1112" s="86"/>
      <c r="B1112" s="91"/>
      <c r="C1112" s="92"/>
      <c r="D1112" s="82"/>
      <c r="E1112" s="82"/>
      <c r="F1112" s="96"/>
    </row>
    <row r="1113" spans="1:6" ht="13.5">
      <c r="A1113" s="86"/>
      <c r="B1113" s="91"/>
      <c r="C1113" s="92"/>
      <c r="D1113" s="82"/>
      <c r="E1113" s="82"/>
      <c r="F1113" s="96"/>
    </row>
    <row r="1114" spans="1:6" ht="13.5">
      <c r="A1114" s="86"/>
      <c r="B1114" s="91"/>
      <c r="C1114" s="92"/>
      <c r="D1114" s="82"/>
      <c r="E1114" s="82"/>
      <c r="F1114" s="96"/>
    </row>
    <row r="1115" spans="1:6" ht="13.5">
      <c r="A1115" s="86"/>
      <c r="B1115" s="91"/>
      <c r="C1115" s="92"/>
      <c r="D1115" s="82"/>
      <c r="E1115" s="82"/>
      <c r="F1115" s="96"/>
    </row>
    <row r="1116" spans="1:6" ht="13.5">
      <c r="A1116" s="86"/>
      <c r="B1116" s="91"/>
      <c r="C1116" s="92"/>
      <c r="D1116" s="82"/>
      <c r="E1116" s="82"/>
      <c r="F1116" s="96"/>
    </row>
    <row r="1117" spans="1:6" ht="13.5">
      <c r="A1117" s="86"/>
      <c r="B1117" s="91"/>
      <c r="C1117" s="92"/>
      <c r="D1117" s="82"/>
      <c r="E1117" s="82"/>
      <c r="F1117" s="96"/>
    </row>
    <row r="1118" spans="1:6" ht="13.5">
      <c r="A1118" s="86"/>
      <c r="B1118" s="91"/>
      <c r="C1118" s="92"/>
      <c r="D1118" s="82"/>
      <c r="E1118" s="82"/>
      <c r="F1118" s="96"/>
    </row>
    <row r="1119" spans="1:6" ht="13.5">
      <c r="A1119" s="86"/>
      <c r="B1119" s="91"/>
      <c r="C1119" s="92"/>
      <c r="D1119" s="82"/>
      <c r="E1119" s="82"/>
      <c r="F1119" s="96"/>
    </row>
    <row r="1120" spans="1:6" ht="13.5">
      <c r="A1120" s="86"/>
      <c r="B1120" s="91"/>
      <c r="C1120" s="92"/>
      <c r="D1120" s="82"/>
      <c r="E1120" s="82"/>
      <c r="F1120" s="96"/>
    </row>
    <row r="1121" spans="1:6" ht="13.5">
      <c r="A1121" s="86"/>
      <c r="B1121" s="91"/>
      <c r="C1121" s="92"/>
      <c r="D1121" s="82"/>
      <c r="E1121" s="82"/>
      <c r="F1121" s="96"/>
    </row>
    <row r="1122" spans="1:6" ht="13.5">
      <c r="A1122" s="86"/>
      <c r="B1122" s="91"/>
      <c r="C1122" s="92"/>
      <c r="D1122" s="82"/>
      <c r="E1122" s="82"/>
      <c r="F1122" s="96"/>
    </row>
    <row r="1123" spans="1:6" ht="13.5">
      <c r="A1123" s="86"/>
      <c r="B1123" s="91"/>
      <c r="C1123" s="92"/>
      <c r="D1123" s="82"/>
      <c r="E1123" s="82"/>
      <c r="F1123" s="96"/>
    </row>
    <row r="1124" spans="1:6" ht="13.5">
      <c r="A1124" s="86"/>
      <c r="B1124" s="91"/>
      <c r="C1124" s="92"/>
      <c r="D1124" s="82"/>
      <c r="E1124" s="82"/>
      <c r="F1124" s="96"/>
    </row>
    <row r="1125" spans="1:6" ht="13.5">
      <c r="A1125" s="86"/>
      <c r="B1125" s="91"/>
      <c r="C1125" s="92"/>
      <c r="D1125" s="82"/>
      <c r="E1125" s="82"/>
      <c r="F1125" s="96"/>
    </row>
    <row r="1126" spans="1:6" ht="13.5">
      <c r="A1126" s="86"/>
      <c r="B1126" s="91"/>
      <c r="C1126" s="92"/>
      <c r="D1126" s="82"/>
      <c r="E1126" s="82"/>
      <c r="F1126" s="96"/>
    </row>
    <row r="1127" spans="1:6" ht="13.5">
      <c r="A1127" s="86"/>
      <c r="B1127" s="91"/>
      <c r="C1127" s="92"/>
      <c r="D1127" s="82"/>
      <c r="E1127" s="82"/>
      <c r="F1127" s="96"/>
    </row>
    <row r="1128" spans="1:6" ht="13.5">
      <c r="A1128" s="86"/>
      <c r="B1128" s="91"/>
      <c r="C1128" s="92"/>
      <c r="D1128" s="82"/>
      <c r="E1128" s="82"/>
      <c r="F1128" s="96"/>
    </row>
    <row r="1129" spans="1:6" ht="13.5">
      <c r="A1129" s="86"/>
      <c r="B1129" s="91"/>
      <c r="C1129" s="92"/>
      <c r="D1129" s="82"/>
      <c r="E1129" s="82"/>
      <c r="F1129" s="96"/>
    </row>
    <row r="1130" spans="1:6" ht="13.5">
      <c r="A1130" s="86"/>
      <c r="B1130" s="91"/>
      <c r="C1130" s="92"/>
      <c r="D1130" s="82"/>
      <c r="E1130" s="82"/>
      <c r="F1130" s="96"/>
    </row>
    <row r="1131" spans="1:6" ht="13.5">
      <c r="A1131" s="86"/>
      <c r="B1131" s="91"/>
      <c r="C1131" s="92"/>
      <c r="D1131" s="82"/>
      <c r="E1131" s="82"/>
      <c r="F1131" s="96"/>
    </row>
    <row r="1132" spans="1:6" ht="13.5">
      <c r="A1132" s="86"/>
      <c r="B1132" s="91"/>
      <c r="C1132" s="92"/>
      <c r="D1132" s="82"/>
      <c r="E1132" s="82"/>
      <c r="F1132" s="96"/>
    </row>
    <row r="1133" spans="1:6" ht="13.5">
      <c r="A1133" s="86"/>
      <c r="B1133" s="91"/>
      <c r="C1133" s="92"/>
      <c r="D1133" s="82"/>
      <c r="E1133" s="82"/>
      <c r="F1133" s="96"/>
    </row>
    <row r="1134" spans="1:6" ht="13.5">
      <c r="A1134" s="86"/>
      <c r="B1134" s="91"/>
      <c r="C1134" s="92"/>
      <c r="D1134" s="82"/>
      <c r="E1134" s="82"/>
      <c r="F1134" s="96"/>
    </row>
    <row r="1135" spans="1:6" ht="13.5">
      <c r="A1135" s="86"/>
      <c r="B1135" s="91"/>
      <c r="C1135" s="92"/>
      <c r="D1135" s="82"/>
      <c r="E1135" s="82"/>
      <c r="F1135" s="96"/>
    </row>
    <row r="1136" spans="1:6" ht="13.5">
      <c r="A1136" s="86"/>
      <c r="B1136" s="91"/>
      <c r="C1136" s="92"/>
      <c r="D1136" s="82"/>
      <c r="E1136" s="82"/>
      <c r="F1136" s="96"/>
    </row>
    <row r="1137" spans="1:6" ht="13.5">
      <c r="A1137" s="86"/>
      <c r="B1137" s="91"/>
      <c r="C1137" s="92"/>
      <c r="D1137" s="82"/>
      <c r="E1137" s="82"/>
      <c r="F1137" s="96"/>
    </row>
    <row r="1138" spans="1:6" ht="13.5">
      <c r="A1138" s="86"/>
      <c r="B1138" s="91"/>
      <c r="C1138" s="92"/>
      <c r="D1138" s="82"/>
      <c r="E1138" s="82"/>
      <c r="F1138" s="96"/>
    </row>
    <row r="1139" spans="1:6" ht="13.5">
      <c r="A1139" s="86"/>
      <c r="B1139" s="91"/>
      <c r="C1139" s="92"/>
      <c r="D1139" s="82"/>
      <c r="E1139" s="82"/>
      <c r="F1139" s="96"/>
    </row>
    <row r="1140" spans="1:6" ht="13.5">
      <c r="A1140" s="86"/>
      <c r="B1140" s="91"/>
      <c r="C1140" s="92"/>
      <c r="D1140" s="82"/>
      <c r="E1140" s="82"/>
      <c r="F1140" s="96"/>
    </row>
    <row r="1141" spans="1:6" ht="13.5">
      <c r="A1141" s="86"/>
      <c r="B1141" s="91"/>
      <c r="C1141" s="92"/>
      <c r="D1141" s="82"/>
      <c r="E1141" s="82"/>
      <c r="F1141" s="96"/>
    </row>
    <row r="1142" spans="1:6" ht="13.5">
      <c r="A1142" s="86"/>
      <c r="B1142" s="91"/>
      <c r="C1142" s="92"/>
      <c r="D1142" s="82"/>
      <c r="E1142" s="82"/>
      <c r="F1142" s="96"/>
    </row>
    <row r="1143" spans="1:6" ht="13.5">
      <c r="A1143" s="86"/>
      <c r="B1143" s="91"/>
      <c r="C1143" s="92"/>
      <c r="D1143" s="82"/>
      <c r="E1143" s="82"/>
      <c r="F1143" s="96"/>
    </row>
    <row r="1144" spans="1:6" ht="13.5">
      <c r="A1144" s="86"/>
      <c r="B1144" s="91"/>
      <c r="C1144" s="92"/>
      <c r="D1144" s="82"/>
      <c r="E1144" s="82"/>
      <c r="F1144" s="96"/>
    </row>
    <row r="1145" spans="1:6" ht="13.5">
      <c r="A1145" s="86"/>
      <c r="B1145" s="91"/>
      <c r="C1145" s="92"/>
      <c r="D1145" s="82"/>
      <c r="E1145" s="82"/>
      <c r="F1145" s="96"/>
    </row>
    <row r="1146" spans="1:6" ht="13.5">
      <c r="A1146" s="86"/>
      <c r="B1146" s="91"/>
      <c r="C1146" s="92"/>
      <c r="D1146" s="82"/>
      <c r="E1146" s="82"/>
      <c r="F1146" s="96"/>
    </row>
    <row r="1147" spans="1:6" ht="13.5">
      <c r="A1147" s="86"/>
      <c r="B1147" s="91"/>
      <c r="C1147" s="92"/>
      <c r="D1147" s="82"/>
      <c r="E1147" s="82"/>
      <c r="F1147" s="96"/>
    </row>
    <row r="1148" spans="1:6" ht="13.5">
      <c r="A1148" s="86"/>
      <c r="B1148" s="91"/>
      <c r="C1148" s="92"/>
      <c r="D1148" s="82"/>
      <c r="E1148" s="82"/>
      <c r="F1148" s="96"/>
    </row>
    <row r="1149" spans="1:6" ht="13.5">
      <c r="A1149" s="86"/>
      <c r="B1149" s="91"/>
      <c r="C1149" s="92"/>
      <c r="D1149" s="82"/>
      <c r="E1149" s="82"/>
      <c r="F1149" s="96"/>
    </row>
    <row r="1150" spans="1:6" ht="13.5">
      <c r="A1150" s="86"/>
      <c r="B1150" s="91"/>
      <c r="C1150" s="92"/>
      <c r="D1150" s="82"/>
      <c r="E1150" s="82"/>
      <c r="F1150" s="96"/>
    </row>
    <row r="1151" spans="1:6" ht="13.5">
      <c r="A1151" s="86"/>
      <c r="B1151" s="91"/>
      <c r="C1151" s="92"/>
      <c r="D1151" s="82"/>
      <c r="E1151" s="82"/>
      <c r="F1151" s="96"/>
    </row>
    <row r="1152" spans="1:6" ht="13.5">
      <c r="A1152" s="86"/>
      <c r="B1152" s="91"/>
      <c r="C1152" s="92"/>
      <c r="D1152" s="82"/>
      <c r="E1152" s="82"/>
      <c r="F1152" s="96"/>
    </row>
    <row r="1153" spans="1:6" ht="13.5">
      <c r="A1153" s="86"/>
      <c r="B1153" s="91"/>
      <c r="C1153" s="92"/>
      <c r="D1153" s="82"/>
      <c r="E1153" s="82"/>
      <c r="F1153" s="96"/>
    </row>
    <row r="1154" spans="1:6" ht="13.5">
      <c r="A1154" s="86"/>
      <c r="B1154" s="91"/>
      <c r="C1154" s="92"/>
      <c r="D1154" s="82"/>
      <c r="E1154" s="82"/>
      <c r="F1154" s="96"/>
    </row>
    <row r="1155" spans="1:6" ht="13.5">
      <c r="A1155" s="86"/>
      <c r="B1155" s="91"/>
      <c r="C1155" s="92"/>
      <c r="D1155" s="82"/>
      <c r="E1155" s="82"/>
      <c r="F1155" s="96"/>
    </row>
    <row r="1156" spans="1:6" ht="13.5">
      <c r="A1156" s="86"/>
      <c r="B1156" s="91"/>
      <c r="C1156" s="92"/>
      <c r="D1156" s="82"/>
      <c r="E1156" s="82"/>
      <c r="F1156" s="96"/>
    </row>
    <row r="1157" spans="1:6" ht="13.5">
      <c r="A1157" s="86"/>
      <c r="B1157" s="91"/>
      <c r="C1157" s="92"/>
      <c r="D1157" s="82"/>
      <c r="E1157" s="82"/>
      <c r="F1157" s="96"/>
    </row>
    <row r="1158" spans="1:6" ht="13.5">
      <c r="A1158" s="86"/>
      <c r="B1158" s="91"/>
      <c r="C1158" s="92"/>
      <c r="D1158" s="82"/>
      <c r="E1158" s="82"/>
      <c r="F1158" s="96"/>
    </row>
    <row r="1159" spans="1:6" ht="13.5">
      <c r="A1159" s="86"/>
      <c r="B1159" s="91"/>
      <c r="C1159" s="92"/>
      <c r="D1159" s="82"/>
      <c r="E1159" s="82"/>
      <c r="F1159" s="96"/>
    </row>
    <row r="1160" spans="1:6" ht="13.5">
      <c r="A1160" s="86"/>
      <c r="B1160" s="91"/>
      <c r="C1160" s="92"/>
      <c r="D1160" s="82"/>
      <c r="E1160" s="82"/>
      <c r="F1160" s="96"/>
    </row>
    <row r="1161" spans="1:6" ht="13.5">
      <c r="A1161" s="86"/>
      <c r="B1161" s="91"/>
      <c r="C1161" s="92"/>
      <c r="D1161" s="82"/>
      <c r="E1161" s="82"/>
      <c r="F1161" s="96"/>
    </row>
    <row r="1162" spans="1:6" ht="13.5">
      <c r="A1162" s="86"/>
      <c r="B1162" s="91"/>
      <c r="C1162" s="92"/>
      <c r="D1162" s="82"/>
      <c r="E1162" s="82"/>
      <c r="F1162" s="96"/>
    </row>
    <row r="1163" spans="1:6" ht="13.5">
      <c r="A1163" s="86"/>
      <c r="B1163" s="91"/>
      <c r="C1163" s="92"/>
      <c r="D1163" s="82"/>
      <c r="E1163" s="82"/>
      <c r="F1163" s="96"/>
    </row>
    <row r="1164" spans="1:6" ht="13.5">
      <c r="A1164" s="86"/>
      <c r="B1164" s="91"/>
      <c r="C1164" s="92"/>
      <c r="D1164" s="82"/>
      <c r="E1164" s="82"/>
      <c r="F1164" s="96"/>
    </row>
    <row r="1165" spans="1:6" ht="13.5">
      <c r="A1165" s="86"/>
      <c r="B1165" s="91"/>
      <c r="C1165" s="92"/>
      <c r="D1165" s="82"/>
      <c r="E1165" s="82"/>
      <c r="F1165" s="96"/>
    </row>
    <row r="1166" spans="1:6" ht="13.5">
      <c r="A1166" s="86"/>
      <c r="B1166" s="91"/>
      <c r="C1166" s="92"/>
      <c r="D1166" s="82"/>
      <c r="E1166" s="82"/>
      <c r="F1166" s="96"/>
    </row>
    <row r="1167" spans="1:6" ht="13.5">
      <c r="A1167" s="86"/>
      <c r="B1167" s="91"/>
      <c r="C1167" s="92"/>
      <c r="D1167" s="82"/>
      <c r="E1167" s="82"/>
      <c r="F1167" s="96"/>
    </row>
    <row r="1168" spans="1:6" ht="13.5">
      <c r="A1168" s="86"/>
      <c r="B1168" s="91"/>
      <c r="C1168" s="92"/>
      <c r="D1168" s="82"/>
      <c r="E1168" s="82"/>
      <c r="F1168" s="96"/>
    </row>
    <row r="1169" spans="1:6" ht="13.5">
      <c r="A1169" s="86"/>
      <c r="B1169" s="91"/>
      <c r="C1169" s="92"/>
      <c r="D1169" s="82"/>
      <c r="E1169" s="82"/>
      <c r="F1169" s="96"/>
    </row>
    <row r="1170" spans="1:6" ht="13.5">
      <c r="A1170" s="86"/>
      <c r="B1170" s="91"/>
      <c r="C1170" s="92"/>
      <c r="D1170" s="82"/>
      <c r="E1170" s="82"/>
      <c r="F1170" s="96"/>
    </row>
    <row r="1171" spans="1:6" ht="13.5">
      <c r="A1171" s="86"/>
      <c r="B1171" s="91"/>
      <c r="C1171" s="92"/>
      <c r="D1171" s="82"/>
      <c r="E1171" s="82"/>
      <c r="F1171" s="96"/>
    </row>
    <row r="1172" spans="1:6" ht="13.5">
      <c r="A1172" s="86"/>
      <c r="B1172" s="91"/>
      <c r="C1172" s="92"/>
      <c r="D1172" s="82"/>
      <c r="E1172" s="82"/>
      <c r="F1172" s="96"/>
    </row>
    <row r="1173" spans="1:6" ht="13.5">
      <c r="A1173" s="86"/>
      <c r="B1173" s="91"/>
      <c r="C1173" s="92"/>
      <c r="D1173" s="82"/>
      <c r="E1173" s="82"/>
      <c r="F1173" s="96"/>
    </row>
    <row r="1174" spans="1:6" ht="13.5">
      <c r="A1174" s="86"/>
      <c r="B1174" s="91"/>
      <c r="C1174" s="92"/>
      <c r="D1174" s="82"/>
      <c r="E1174" s="82"/>
      <c r="F1174" s="96"/>
    </row>
    <row r="1175" spans="1:6" ht="13.5">
      <c r="A1175" s="86"/>
      <c r="B1175" s="91"/>
      <c r="C1175" s="92"/>
      <c r="D1175" s="82"/>
      <c r="E1175" s="82"/>
      <c r="F1175" s="96"/>
    </row>
    <row r="1176" spans="1:6" ht="13.5">
      <c r="A1176" s="86"/>
      <c r="B1176" s="91"/>
      <c r="C1176" s="92"/>
      <c r="D1176" s="82"/>
      <c r="E1176" s="82"/>
      <c r="F1176" s="96"/>
    </row>
    <row r="1177" spans="1:6" ht="13.5">
      <c r="A1177" s="86"/>
      <c r="B1177" s="91"/>
      <c r="C1177" s="92"/>
      <c r="D1177" s="82"/>
      <c r="E1177" s="82"/>
      <c r="F1177" s="96"/>
    </row>
    <row r="1178" spans="1:6" ht="13.5">
      <c r="A1178" s="86"/>
      <c r="B1178" s="91"/>
      <c r="C1178" s="92"/>
      <c r="D1178" s="82"/>
      <c r="E1178" s="82"/>
      <c r="F1178" s="96"/>
    </row>
    <row r="1179" spans="1:6" ht="13.5">
      <c r="A1179" s="86"/>
      <c r="B1179" s="91"/>
      <c r="C1179" s="92"/>
      <c r="D1179" s="82"/>
      <c r="E1179" s="82"/>
      <c r="F1179" s="96"/>
    </row>
    <row r="1180" spans="1:6" ht="13.5">
      <c r="A1180" s="86"/>
      <c r="B1180" s="91"/>
      <c r="C1180" s="92"/>
      <c r="D1180" s="82"/>
      <c r="E1180" s="82"/>
      <c r="F1180" s="96"/>
    </row>
    <row r="1181" spans="1:6" ht="13.5">
      <c r="A1181" s="86"/>
      <c r="B1181" s="91"/>
      <c r="C1181" s="92"/>
      <c r="D1181" s="82"/>
      <c r="E1181" s="82"/>
      <c r="F1181" s="96"/>
    </row>
    <row r="1182" spans="1:6" ht="13.5">
      <c r="A1182" s="86"/>
      <c r="B1182" s="91"/>
      <c r="C1182" s="92"/>
      <c r="D1182" s="82"/>
      <c r="E1182" s="82"/>
      <c r="F1182" s="96"/>
    </row>
    <row r="1183" spans="1:6" ht="13.5">
      <c r="A1183" s="86"/>
      <c r="B1183" s="91"/>
      <c r="C1183" s="92"/>
      <c r="D1183" s="82"/>
      <c r="E1183" s="82"/>
      <c r="F1183" s="96"/>
    </row>
    <row r="1184" spans="1:6" ht="13.5">
      <c r="A1184" s="86"/>
      <c r="B1184" s="91"/>
      <c r="C1184" s="92"/>
      <c r="D1184" s="82"/>
      <c r="E1184" s="82"/>
      <c r="F1184" s="96"/>
    </row>
    <row r="1185" spans="1:6" ht="13.5">
      <c r="A1185" s="86"/>
      <c r="B1185" s="91"/>
      <c r="C1185" s="92"/>
      <c r="D1185" s="82"/>
      <c r="E1185" s="82"/>
      <c r="F1185" s="96"/>
    </row>
    <row r="1186" spans="1:6" ht="13.5">
      <c r="A1186" s="86"/>
      <c r="B1186" s="91"/>
      <c r="C1186" s="92"/>
      <c r="D1186" s="82"/>
      <c r="E1186" s="82"/>
      <c r="F1186" s="96"/>
    </row>
    <row r="1187" spans="1:6" ht="13.5">
      <c r="A1187" s="86"/>
      <c r="B1187" s="91"/>
      <c r="C1187" s="92"/>
      <c r="D1187" s="82"/>
      <c r="E1187" s="82"/>
      <c r="F1187" s="96"/>
    </row>
    <row r="1188" spans="1:6" ht="13.5">
      <c r="A1188" s="86"/>
      <c r="B1188" s="91"/>
      <c r="C1188" s="92"/>
      <c r="D1188" s="82"/>
      <c r="E1188" s="82"/>
      <c r="F1188" s="96"/>
    </row>
    <row r="1189" spans="1:6" ht="13.5">
      <c r="A1189" s="86"/>
      <c r="B1189" s="91"/>
      <c r="C1189" s="92"/>
      <c r="D1189" s="82"/>
      <c r="E1189" s="82"/>
      <c r="F1189" s="96"/>
    </row>
    <row r="1190" spans="1:6" ht="13.5">
      <c r="A1190" s="86"/>
      <c r="B1190" s="91"/>
      <c r="C1190" s="92"/>
      <c r="D1190" s="82"/>
      <c r="E1190" s="82"/>
      <c r="F1190" s="96"/>
    </row>
    <row r="1191" spans="1:6" ht="13.5">
      <c r="A1191" s="86"/>
      <c r="B1191" s="91"/>
      <c r="C1191" s="92"/>
      <c r="D1191" s="82"/>
      <c r="E1191" s="82"/>
      <c r="F1191" s="96"/>
    </row>
    <row r="1192" spans="1:6" ht="13.5">
      <c r="A1192" s="86"/>
      <c r="B1192" s="91"/>
      <c r="C1192" s="92"/>
      <c r="D1192" s="82"/>
      <c r="E1192" s="82"/>
      <c r="F1192" s="96"/>
    </row>
    <row r="1193" spans="1:6" ht="13.5">
      <c r="A1193" s="86"/>
      <c r="B1193" s="91"/>
      <c r="C1193" s="92"/>
      <c r="D1193" s="82"/>
      <c r="E1193" s="82"/>
      <c r="F1193" s="96"/>
    </row>
    <row r="1194" spans="1:6" ht="13.5">
      <c r="A1194" s="86"/>
      <c r="B1194" s="91"/>
      <c r="C1194" s="92"/>
      <c r="D1194" s="82"/>
      <c r="E1194" s="82"/>
      <c r="F1194" s="96"/>
    </row>
    <row r="1195" spans="1:6" ht="13.5">
      <c r="A1195" s="86"/>
      <c r="B1195" s="91"/>
      <c r="C1195" s="92"/>
      <c r="D1195" s="82"/>
      <c r="E1195" s="82"/>
      <c r="F1195" s="96"/>
    </row>
    <row r="1196" spans="1:6" ht="13.5">
      <c r="A1196" s="86"/>
      <c r="B1196" s="91"/>
      <c r="C1196" s="92"/>
      <c r="D1196" s="82"/>
      <c r="E1196" s="82"/>
      <c r="F1196" s="96"/>
    </row>
    <row r="1197" spans="1:6" ht="13.5">
      <c r="A1197" s="86"/>
      <c r="B1197" s="91"/>
      <c r="C1197" s="92"/>
      <c r="D1197" s="82"/>
      <c r="E1197" s="82"/>
      <c r="F1197" s="96"/>
    </row>
    <row r="1198" spans="1:6" ht="13.5">
      <c r="A1198" s="86"/>
      <c r="B1198" s="91"/>
      <c r="C1198" s="92"/>
      <c r="D1198" s="82"/>
      <c r="E1198" s="82"/>
      <c r="F1198" s="96"/>
    </row>
    <row r="1199" spans="1:6" ht="13.5">
      <c r="A1199" s="86"/>
      <c r="B1199" s="91"/>
      <c r="C1199" s="92"/>
      <c r="D1199" s="82"/>
      <c r="E1199" s="82"/>
      <c r="F1199" s="96"/>
    </row>
    <row r="1200" spans="1:6" ht="13.5">
      <c r="A1200" s="86"/>
      <c r="B1200" s="91"/>
      <c r="C1200" s="92"/>
      <c r="D1200" s="82"/>
      <c r="E1200" s="82"/>
      <c r="F1200" s="96"/>
    </row>
    <row r="1201" spans="1:6" ht="13.5">
      <c r="A1201" s="86"/>
      <c r="B1201" s="91"/>
      <c r="C1201" s="92"/>
      <c r="D1201" s="82"/>
      <c r="E1201" s="82"/>
      <c r="F1201" s="96"/>
    </row>
    <row r="1202" spans="1:6" ht="13.5">
      <c r="A1202" s="86"/>
      <c r="B1202" s="91"/>
      <c r="C1202" s="92"/>
      <c r="D1202" s="82"/>
      <c r="E1202" s="82"/>
      <c r="F1202" s="96"/>
    </row>
    <row r="1203" spans="1:6" ht="13.5">
      <c r="A1203" s="86"/>
      <c r="B1203" s="91"/>
      <c r="C1203" s="92"/>
      <c r="D1203" s="82"/>
      <c r="E1203" s="82"/>
      <c r="F1203" s="96"/>
    </row>
    <row r="1204" spans="1:6" ht="13.5">
      <c r="A1204" s="86"/>
      <c r="B1204" s="91"/>
      <c r="C1204" s="92"/>
      <c r="D1204" s="82"/>
      <c r="E1204" s="82"/>
      <c r="F1204" s="96"/>
    </row>
    <row r="1205" spans="1:6" ht="13.5">
      <c r="A1205" s="86"/>
      <c r="B1205" s="91"/>
      <c r="C1205" s="92"/>
      <c r="D1205" s="82"/>
      <c r="E1205" s="82"/>
      <c r="F1205" s="96"/>
    </row>
    <row r="1206" spans="1:6" ht="13.5">
      <c r="A1206" s="86"/>
      <c r="B1206" s="91"/>
      <c r="C1206" s="92"/>
      <c r="D1206" s="82"/>
      <c r="E1206" s="82"/>
      <c r="F1206" s="96"/>
    </row>
    <row r="1207" spans="1:6" ht="13.5">
      <c r="A1207" s="86"/>
      <c r="B1207" s="91"/>
      <c r="C1207" s="92"/>
      <c r="D1207" s="82"/>
      <c r="E1207" s="82"/>
      <c r="F1207" s="96"/>
    </row>
    <row r="1208" spans="1:6" ht="13.5">
      <c r="A1208" s="86"/>
      <c r="B1208" s="91"/>
      <c r="C1208" s="92"/>
      <c r="D1208" s="82"/>
      <c r="E1208" s="82"/>
      <c r="F1208" s="96"/>
    </row>
    <row r="1209" spans="1:6" ht="13.5">
      <c r="A1209" s="86"/>
      <c r="B1209" s="91"/>
      <c r="C1209" s="92"/>
      <c r="D1209" s="82"/>
      <c r="E1209" s="82"/>
      <c r="F1209" s="96"/>
    </row>
    <row r="1210" spans="1:6" ht="13.5">
      <c r="A1210" s="86"/>
      <c r="B1210" s="91"/>
      <c r="C1210" s="92"/>
      <c r="D1210" s="82"/>
      <c r="E1210" s="82"/>
      <c r="F1210" s="96"/>
    </row>
    <row r="1211" spans="1:6" ht="13.5">
      <c r="A1211" s="86"/>
      <c r="B1211" s="91"/>
      <c r="C1211" s="92"/>
      <c r="D1211" s="82"/>
      <c r="E1211" s="82"/>
      <c r="F1211" s="96"/>
    </row>
    <row r="1212" spans="1:6" ht="13.5">
      <c r="A1212" s="86"/>
      <c r="B1212" s="91"/>
      <c r="C1212" s="92"/>
      <c r="D1212" s="82"/>
      <c r="E1212" s="82"/>
      <c r="F1212" s="96"/>
    </row>
    <row r="1213" spans="1:6" ht="13.5">
      <c r="A1213" s="86"/>
      <c r="B1213" s="91"/>
      <c r="C1213" s="92"/>
      <c r="D1213" s="82"/>
      <c r="E1213" s="82"/>
      <c r="F1213" s="96"/>
    </row>
    <row r="1214" spans="1:6" ht="13.5">
      <c r="A1214" s="86"/>
      <c r="B1214" s="91"/>
      <c r="C1214" s="92"/>
      <c r="D1214" s="82"/>
      <c r="E1214" s="82"/>
      <c r="F1214" s="96"/>
    </row>
    <row r="1215" spans="1:6" ht="13.5">
      <c r="A1215" s="86"/>
      <c r="B1215" s="91"/>
      <c r="C1215" s="92"/>
      <c r="D1215" s="82"/>
      <c r="E1215" s="82"/>
      <c r="F1215" s="96"/>
    </row>
    <row r="1216" spans="1:6" ht="13.5">
      <c r="A1216" s="86"/>
      <c r="B1216" s="91"/>
      <c r="C1216" s="92"/>
      <c r="D1216" s="82"/>
      <c r="E1216" s="82"/>
      <c r="F1216" s="96"/>
    </row>
    <row r="1217" spans="1:6" ht="13.5">
      <c r="A1217" s="86"/>
      <c r="B1217" s="91"/>
      <c r="C1217" s="92"/>
      <c r="D1217" s="82"/>
      <c r="E1217" s="82"/>
      <c r="F1217" s="96"/>
    </row>
    <row r="1218" spans="1:6" ht="13.5">
      <c r="A1218" s="86"/>
      <c r="B1218" s="91"/>
      <c r="C1218" s="92"/>
      <c r="D1218" s="82"/>
      <c r="E1218" s="82"/>
      <c r="F1218" s="96"/>
    </row>
    <row r="1219" spans="1:6" ht="13.5">
      <c r="A1219" s="86"/>
      <c r="B1219" s="91"/>
      <c r="C1219" s="92"/>
      <c r="D1219" s="82"/>
      <c r="E1219" s="82"/>
      <c r="F1219" s="96"/>
    </row>
    <row r="1220" spans="1:6" ht="13.5">
      <c r="A1220" s="86"/>
      <c r="B1220" s="91"/>
      <c r="C1220" s="92"/>
      <c r="D1220" s="82"/>
      <c r="E1220" s="82"/>
      <c r="F1220" s="96"/>
    </row>
    <row r="1221" spans="1:6" ht="13.5">
      <c r="A1221" s="86"/>
      <c r="B1221" s="91"/>
      <c r="C1221" s="92"/>
      <c r="D1221" s="82"/>
      <c r="E1221" s="82"/>
      <c r="F1221" s="96"/>
    </row>
    <row r="1222" spans="1:6" ht="13.5">
      <c r="A1222" s="86"/>
      <c r="B1222" s="91"/>
      <c r="C1222" s="92"/>
      <c r="D1222" s="82"/>
      <c r="E1222" s="82"/>
      <c r="F1222" s="96"/>
    </row>
    <row r="1223" spans="1:6" ht="13.5">
      <c r="A1223" s="86"/>
      <c r="B1223" s="91"/>
      <c r="C1223" s="92"/>
      <c r="D1223" s="82"/>
      <c r="E1223" s="82"/>
      <c r="F1223" s="96"/>
    </row>
    <row r="1224" spans="1:6" ht="13.5">
      <c r="A1224" s="86"/>
      <c r="B1224" s="91"/>
      <c r="C1224" s="92"/>
      <c r="D1224" s="82"/>
      <c r="E1224" s="82"/>
      <c r="F1224" s="96"/>
    </row>
    <row r="1225" spans="1:6" ht="13.5">
      <c r="A1225" s="86"/>
      <c r="B1225" s="91"/>
      <c r="C1225" s="92"/>
      <c r="D1225" s="82"/>
      <c r="E1225" s="82"/>
      <c r="F1225" s="96"/>
    </row>
    <row r="1226" spans="1:6" ht="13.5">
      <c r="A1226" s="86"/>
      <c r="B1226" s="91"/>
      <c r="C1226" s="92"/>
      <c r="D1226" s="82"/>
      <c r="E1226" s="82"/>
      <c r="F1226" s="96"/>
    </row>
    <row r="1227" spans="1:6" ht="13.5">
      <c r="A1227" s="86"/>
      <c r="B1227" s="91"/>
      <c r="C1227" s="92"/>
      <c r="D1227" s="82"/>
      <c r="E1227" s="82"/>
      <c r="F1227" s="96"/>
    </row>
    <row r="1228" spans="1:6" ht="13.5">
      <c r="A1228" s="86"/>
      <c r="B1228" s="91"/>
      <c r="C1228" s="92"/>
      <c r="D1228" s="82"/>
      <c r="E1228" s="82"/>
      <c r="F1228" s="96"/>
    </row>
    <row r="1229" spans="1:6" ht="13.5">
      <c r="A1229" s="86"/>
      <c r="B1229" s="91"/>
      <c r="C1229" s="92"/>
      <c r="D1229" s="82"/>
      <c r="E1229" s="82"/>
      <c r="F1229" s="96"/>
    </row>
    <row r="1230" spans="1:6" ht="13.5">
      <c r="A1230" s="86"/>
      <c r="B1230" s="91"/>
      <c r="C1230" s="92"/>
      <c r="D1230" s="82"/>
      <c r="E1230" s="82"/>
      <c r="F1230" s="96"/>
    </row>
    <row r="1231" spans="1:6" ht="13.5">
      <c r="A1231" s="86"/>
      <c r="B1231" s="91"/>
      <c r="C1231" s="92"/>
      <c r="D1231" s="82"/>
      <c r="E1231" s="82"/>
      <c r="F1231" s="96"/>
    </row>
    <row r="1232" spans="1:6" ht="13.5">
      <c r="A1232" s="86"/>
      <c r="B1232" s="91"/>
      <c r="C1232" s="92"/>
      <c r="D1232" s="82"/>
      <c r="E1232" s="82"/>
      <c r="F1232" s="96"/>
    </row>
    <row r="1233" spans="1:6" ht="13.5">
      <c r="A1233" s="86"/>
      <c r="B1233" s="91"/>
      <c r="C1233" s="92"/>
      <c r="D1233" s="82"/>
      <c r="E1233" s="82"/>
      <c r="F1233" s="96"/>
    </row>
    <row r="1234" spans="1:6" ht="13.5">
      <c r="A1234" s="86"/>
      <c r="B1234" s="91"/>
      <c r="C1234" s="92"/>
      <c r="D1234" s="82"/>
      <c r="E1234" s="82"/>
      <c r="F1234" s="96"/>
    </row>
    <row r="1235" spans="1:6" ht="13.5">
      <c r="A1235" s="86"/>
      <c r="B1235" s="91"/>
      <c r="C1235" s="92"/>
      <c r="D1235" s="82"/>
      <c r="E1235" s="82"/>
      <c r="F1235" s="96"/>
    </row>
    <row r="1236" spans="1:6" ht="13.5">
      <c r="A1236" s="86"/>
      <c r="B1236" s="91"/>
      <c r="C1236" s="92"/>
      <c r="D1236" s="82"/>
      <c r="E1236" s="82"/>
      <c r="F1236" s="96"/>
    </row>
    <row r="1237" spans="1:6" ht="13.5">
      <c r="A1237" s="86"/>
      <c r="B1237" s="91"/>
      <c r="C1237" s="92"/>
      <c r="D1237" s="82"/>
      <c r="E1237" s="82"/>
      <c r="F1237" s="96"/>
    </row>
    <row r="1238" spans="1:6" ht="13.5">
      <c r="A1238" s="86"/>
      <c r="B1238" s="91"/>
      <c r="C1238" s="92"/>
      <c r="D1238" s="82"/>
      <c r="E1238" s="82"/>
      <c r="F1238" s="96"/>
    </row>
    <row r="1239" spans="1:6" ht="13.5">
      <c r="A1239" s="86"/>
      <c r="B1239" s="91"/>
      <c r="C1239" s="92"/>
      <c r="D1239" s="82"/>
      <c r="E1239" s="82"/>
      <c r="F1239" s="96"/>
    </row>
    <row r="1240" spans="1:6" ht="13.5">
      <c r="A1240" s="86"/>
      <c r="B1240" s="91"/>
      <c r="C1240" s="92"/>
      <c r="D1240" s="82"/>
      <c r="E1240" s="82"/>
      <c r="F1240" s="96"/>
    </row>
    <row r="1241" spans="1:6" ht="13.5">
      <c r="A1241" s="86"/>
      <c r="B1241" s="91"/>
      <c r="C1241" s="92"/>
      <c r="D1241" s="82"/>
      <c r="E1241" s="82"/>
      <c r="F1241" s="96"/>
    </row>
    <row r="1242" spans="1:6" ht="13.5">
      <c r="A1242" s="86"/>
      <c r="B1242" s="91"/>
      <c r="C1242" s="92"/>
      <c r="D1242" s="82"/>
      <c r="E1242" s="82"/>
      <c r="F1242" s="96"/>
    </row>
    <row r="1243" spans="1:6" ht="13.5">
      <c r="A1243" s="86"/>
      <c r="B1243" s="91"/>
      <c r="C1243" s="92"/>
      <c r="D1243" s="82"/>
      <c r="E1243" s="82"/>
      <c r="F1243" s="96"/>
    </row>
    <row r="1244" spans="1:6" ht="13.5">
      <c r="A1244" s="86"/>
      <c r="B1244" s="91"/>
      <c r="C1244" s="92"/>
      <c r="D1244" s="82"/>
      <c r="E1244" s="82"/>
      <c r="F1244" s="96"/>
    </row>
    <row r="1245" spans="1:6" ht="13.5">
      <c r="A1245" s="86"/>
      <c r="B1245" s="91"/>
      <c r="C1245" s="92"/>
      <c r="D1245" s="82"/>
      <c r="E1245" s="82"/>
      <c r="F1245" s="96"/>
    </row>
    <row r="1246" spans="1:6" ht="13.5">
      <c r="A1246" s="86"/>
      <c r="B1246" s="91"/>
      <c r="C1246" s="92"/>
      <c r="D1246" s="82"/>
      <c r="E1246" s="82"/>
      <c r="F1246" s="96"/>
    </row>
    <row r="1247" spans="1:6" ht="13.5">
      <c r="A1247" s="86"/>
      <c r="B1247" s="91"/>
      <c r="C1247" s="92"/>
      <c r="D1247" s="82"/>
      <c r="E1247" s="82"/>
      <c r="F1247" s="96"/>
    </row>
    <row r="1248" spans="1:6" ht="13.5">
      <c r="A1248" s="86"/>
      <c r="B1248" s="91"/>
      <c r="C1248" s="92"/>
      <c r="D1248" s="82"/>
      <c r="E1248" s="82"/>
      <c r="F1248" s="96"/>
    </row>
    <row r="1249" spans="1:6" ht="13.5">
      <c r="A1249" s="86"/>
      <c r="B1249" s="91"/>
      <c r="C1249" s="92"/>
      <c r="D1249" s="82"/>
      <c r="E1249" s="82"/>
      <c r="F1249" s="96"/>
    </row>
    <row r="1250" spans="1:6" ht="13.5">
      <c r="A1250" s="86"/>
      <c r="B1250" s="91"/>
      <c r="C1250" s="92"/>
      <c r="D1250" s="82"/>
      <c r="E1250" s="82"/>
      <c r="F1250" s="96"/>
    </row>
    <row r="1251" spans="1:6" ht="13.5">
      <c r="A1251" s="86"/>
      <c r="B1251" s="91"/>
      <c r="C1251" s="92"/>
      <c r="D1251" s="82"/>
      <c r="E1251" s="82"/>
      <c r="F1251" s="96"/>
    </row>
    <row r="1252" spans="1:6" ht="13.5">
      <c r="A1252" s="86"/>
      <c r="B1252" s="91"/>
      <c r="C1252" s="92"/>
      <c r="D1252" s="82"/>
      <c r="E1252" s="82"/>
      <c r="F1252" s="96"/>
    </row>
    <row r="1253" spans="1:6" ht="13.5">
      <c r="A1253" s="86"/>
      <c r="B1253" s="91"/>
      <c r="C1253" s="92"/>
      <c r="D1253" s="82"/>
      <c r="E1253" s="82"/>
      <c r="F1253" s="96"/>
    </row>
    <row r="1254" spans="1:6" ht="13.5">
      <c r="A1254" s="86"/>
      <c r="B1254" s="91"/>
      <c r="C1254" s="92"/>
      <c r="D1254" s="82"/>
      <c r="E1254" s="82"/>
      <c r="F1254" s="96"/>
    </row>
    <row r="1255" spans="1:6" ht="13.5">
      <c r="A1255" s="86"/>
      <c r="B1255" s="91"/>
      <c r="C1255" s="92"/>
      <c r="D1255" s="82"/>
      <c r="E1255" s="82"/>
      <c r="F1255" s="96"/>
    </row>
    <row r="1256" spans="1:6" ht="13.5">
      <c r="A1256" s="86"/>
      <c r="B1256" s="91"/>
      <c r="C1256" s="92"/>
      <c r="D1256" s="82"/>
      <c r="E1256" s="82"/>
      <c r="F1256" s="96"/>
    </row>
    <row r="1257" spans="1:6" ht="13.5">
      <c r="A1257" s="86"/>
      <c r="B1257" s="91"/>
      <c r="C1257" s="92"/>
      <c r="D1257" s="82"/>
      <c r="E1257" s="82"/>
      <c r="F1257" s="96"/>
    </row>
    <row r="1258" spans="1:6" ht="13.5">
      <c r="A1258" s="86"/>
      <c r="B1258" s="91"/>
      <c r="C1258" s="92"/>
      <c r="D1258" s="82"/>
      <c r="E1258" s="82"/>
      <c r="F1258" s="96"/>
    </row>
    <row r="1259" spans="1:6" ht="13.5">
      <c r="A1259" s="86"/>
      <c r="B1259" s="91"/>
      <c r="C1259" s="92"/>
      <c r="D1259" s="82"/>
      <c r="E1259" s="82"/>
      <c r="F1259" s="96"/>
    </row>
    <row r="1260" spans="1:6" ht="13.5">
      <c r="A1260" s="86"/>
      <c r="B1260" s="91"/>
      <c r="C1260" s="92"/>
      <c r="D1260" s="82"/>
      <c r="E1260" s="82"/>
      <c r="F1260" s="96"/>
    </row>
    <row r="1261" spans="1:6" ht="13.5">
      <c r="A1261" s="86"/>
      <c r="B1261" s="91"/>
      <c r="C1261" s="92"/>
      <c r="D1261" s="82"/>
      <c r="E1261" s="82"/>
      <c r="F1261" s="96"/>
    </row>
    <row r="1262" spans="1:6" ht="13.5">
      <c r="A1262" s="86"/>
      <c r="B1262" s="91"/>
      <c r="C1262" s="92"/>
      <c r="D1262" s="82"/>
      <c r="E1262" s="82"/>
      <c r="F1262" s="96"/>
    </row>
    <row r="1263" spans="1:6" ht="13.5">
      <c r="A1263" s="86"/>
      <c r="B1263" s="91"/>
      <c r="C1263" s="92"/>
      <c r="D1263" s="82"/>
      <c r="E1263" s="82"/>
      <c r="F1263" s="96"/>
    </row>
    <row r="1264" spans="1:6" ht="13.5">
      <c r="A1264" s="86"/>
      <c r="B1264" s="91"/>
      <c r="C1264" s="92"/>
      <c r="D1264" s="82"/>
      <c r="E1264" s="82"/>
      <c r="F1264" s="96"/>
    </row>
    <row r="1265" spans="1:6" ht="13.5">
      <c r="A1265" s="86"/>
      <c r="B1265" s="91"/>
      <c r="C1265" s="92"/>
      <c r="D1265" s="82"/>
      <c r="E1265" s="82"/>
      <c r="F1265" s="96"/>
    </row>
    <row r="1266" spans="1:6" ht="13.5">
      <c r="A1266" s="86"/>
      <c r="B1266" s="91"/>
      <c r="C1266" s="92"/>
      <c r="D1266" s="82"/>
      <c r="E1266" s="82"/>
      <c r="F1266" s="96"/>
    </row>
    <row r="1267" spans="1:6" ht="13.5">
      <c r="A1267" s="86"/>
      <c r="B1267" s="91"/>
      <c r="C1267" s="92"/>
      <c r="D1267" s="82"/>
      <c r="E1267" s="82"/>
      <c r="F1267" s="96"/>
    </row>
    <row r="1268" spans="1:6" ht="13.5">
      <c r="A1268" s="86"/>
      <c r="B1268" s="91"/>
      <c r="C1268" s="92"/>
      <c r="D1268" s="82"/>
      <c r="E1268" s="82"/>
      <c r="F1268" s="96"/>
    </row>
    <row r="1269" spans="1:6" ht="13.5">
      <c r="A1269" s="86"/>
      <c r="B1269" s="91"/>
      <c r="C1269" s="92"/>
      <c r="D1269" s="82"/>
      <c r="E1269" s="82"/>
      <c r="F1269" s="96"/>
    </row>
    <row r="1270" spans="1:6" ht="13.5">
      <c r="A1270" s="86"/>
      <c r="B1270" s="91"/>
      <c r="C1270" s="92"/>
      <c r="D1270" s="82"/>
      <c r="E1270" s="82"/>
      <c r="F1270" s="96"/>
    </row>
    <row r="1271" spans="1:6" ht="13.5">
      <c r="A1271" s="86"/>
      <c r="B1271" s="91"/>
      <c r="C1271" s="92"/>
      <c r="D1271" s="82"/>
      <c r="E1271" s="82"/>
      <c r="F1271" s="96"/>
    </row>
    <row r="1272" spans="1:6" ht="13.5">
      <c r="A1272" s="86"/>
      <c r="B1272" s="91"/>
      <c r="C1272" s="92"/>
      <c r="D1272" s="82"/>
      <c r="E1272" s="82"/>
      <c r="F1272" s="96"/>
    </row>
    <row r="1273" spans="1:6" ht="13.5">
      <c r="A1273" s="86"/>
      <c r="B1273" s="91"/>
      <c r="C1273" s="92"/>
      <c r="D1273" s="82"/>
      <c r="E1273" s="82"/>
      <c r="F1273" s="96"/>
    </row>
    <row r="1274" spans="1:6" ht="13.5">
      <c r="A1274" s="86"/>
      <c r="B1274" s="91"/>
      <c r="C1274" s="92"/>
      <c r="D1274" s="82"/>
      <c r="E1274" s="82"/>
      <c r="F1274" s="96"/>
    </row>
    <row r="1275" spans="1:6" ht="13.5">
      <c r="A1275" s="86"/>
      <c r="B1275" s="91"/>
      <c r="C1275" s="92"/>
      <c r="D1275" s="82"/>
      <c r="E1275" s="82"/>
      <c r="F1275" s="96"/>
    </row>
    <row r="1276" spans="1:6" ht="13.5">
      <c r="A1276" s="86"/>
      <c r="B1276" s="91"/>
      <c r="C1276" s="92"/>
      <c r="D1276" s="82"/>
      <c r="E1276" s="82"/>
      <c r="F1276" s="96"/>
    </row>
    <row r="1277" spans="1:6" ht="13.5">
      <c r="A1277" s="86"/>
      <c r="B1277" s="91"/>
      <c r="C1277" s="92"/>
      <c r="D1277" s="82"/>
      <c r="E1277" s="82"/>
      <c r="F1277" s="96"/>
    </row>
    <row r="1278" spans="1:6" ht="13.5">
      <c r="A1278" s="86"/>
      <c r="B1278" s="91"/>
      <c r="C1278" s="92"/>
      <c r="D1278" s="82"/>
      <c r="E1278" s="82"/>
      <c r="F1278" s="96"/>
    </row>
    <row r="1279" spans="1:6" ht="13.5">
      <c r="A1279" s="86"/>
      <c r="B1279" s="91"/>
      <c r="C1279" s="92"/>
      <c r="D1279" s="82"/>
      <c r="E1279" s="82"/>
      <c r="F1279" s="96"/>
    </row>
    <row r="1280" spans="1:6" ht="13.5">
      <c r="A1280" s="86"/>
      <c r="B1280" s="91"/>
      <c r="C1280" s="92"/>
      <c r="D1280" s="82"/>
      <c r="E1280" s="82"/>
      <c r="F1280" s="96"/>
    </row>
    <row r="1281" spans="1:6" ht="13.5">
      <c r="A1281" s="86"/>
      <c r="B1281" s="91"/>
      <c r="C1281" s="92"/>
      <c r="D1281" s="82"/>
      <c r="E1281" s="82"/>
      <c r="F1281" s="96"/>
    </row>
    <row r="1282" spans="1:6" ht="13.5">
      <c r="A1282" s="86"/>
      <c r="B1282" s="91"/>
      <c r="C1282" s="92"/>
      <c r="D1282" s="82"/>
      <c r="E1282" s="82"/>
      <c r="F1282" s="96"/>
    </row>
    <row r="1283" spans="1:6" ht="13.5">
      <c r="A1283" s="86"/>
      <c r="B1283" s="91"/>
      <c r="C1283" s="92"/>
      <c r="D1283" s="82"/>
      <c r="E1283" s="82"/>
      <c r="F1283" s="96"/>
    </row>
    <row r="1284" spans="1:6" ht="13.5">
      <c r="A1284" s="86"/>
      <c r="B1284" s="91"/>
      <c r="C1284" s="92"/>
      <c r="D1284" s="82"/>
      <c r="E1284" s="82"/>
      <c r="F1284" s="96"/>
    </row>
    <row r="1285" spans="1:6" ht="13.5">
      <c r="A1285" s="86"/>
      <c r="B1285" s="91"/>
      <c r="C1285" s="92"/>
      <c r="D1285" s="82"/>
      <c r="E1285" s="82"/>
      <c r="F1285" s="96"/>
    </row>
    <row r="1286" spans="1:6" ht="13.5">
      <c r="A1286" s="86"/>
      <c r="B1286" s="91"/>
      <c r="C1286" s="92"/>
      <c r="D1286" s="82"/>
      <c r="E1286" s="82"/>
      <c r="F1286" s="96"/>
    </row>
    <row r="1287" spans="1:6" ht="13.5">
      <c r="A1287" s="86"/>
      <c r="B1287" s="91"/>
      <c r="C1287" s="92"/>
      <c r="D1287" s="82"/>
      <c r="E1287" s="82"/>
      <c r="F1287" s="96"/>
    </row>
    <row r="1288" spans="1:6" ht="13.5">
      <c r="A1288" s="86"/>
      <c r="B1288" s="91"/>
      <c r="C1288" s="92"/>
      <c r="D1288" s="82"/>
      <c r="E1288" s="82"/>
      <c r="F1288" s="96"/>
    </row>
    <row r="1289" spans="1:6" ht="13.5">
      <c r="A1289" s="86"/>
      <c r="B1289" s="91"/>
      <c r="C1289" s="92"/>
      <c r="D1289" s="82"/>
      <c r="E1289" s="82"/>
      <c r="F1289" s="96"/>
    </row>
    <row r="1290" spans="1:6" ht="13.5">
      <c r="A1290" s="86"/>
      <c r="B1290" s="91"/>
      <c r="C1290" s="92"/>
      <c r="D1290" s="82"/>
      <c r="E1290" s="82"/>
      <c r="F1290" s="96"/>
    </row>
    <row r="1291" spans="1:6" ht="13.5">
      <c r="A1291" s="86"/>
      <c r="B1291" s="91"/>
      <c r="C1291" s="92"/>
      <c r="D1291" s="82"/>
      <c r="E1291" s="82"/>
      <c r="F1291" s="96"/>
    </row>
    <row r="1292" spans="1:6" ht="13.5">
      <c r="A1292" s="86"/>
      <c r="B1292" s="91"/>
      <c r="C1292" s="92"/>
      <c r="D1292" s="82"/>
      <c r="E1292" s="82"/>
      <c r="F1292" s="96"/>
    </row>
    <row r="1293" spans="1:6" ht="13.5">
      <c r="A1293" s="86"/>
      <c r="B1293" s="91"/>
      <c r="C1293" s="92"/>
      <c r="D1293" s="82"/>
      <c r="E1293" s="82"/>
      <c r="F1293" s="96"/>
    </row>
    <row r="1294" spans="1:6" ht="13.5">
      <c r="A1294" s="86"/>
      <c r="B1294" s="91"/>
      <c r="C1294" s="92"/>
      <c r="D1294" s="82"/>
      <c r="E1294" s="82"/>
      <c r="F1294" s="96"/>
    </row>
    <row r="1295" spans="1:6" ht="13.5">
      <c r="A1295" s="86"/>
      <c r="B1295" s="91"/>
      <c r="C1295" s="92"/>
      <c r="D1295" s="82"/>
      <c r="E1295" s="82"/>
      <c r="F1295" s="96"/>
    </row>
    <row r="1296" spans="1:6" ht="13.5">
      <c r="A1296" s="86"/>
      <c r="B1296" s="91"/>
      <c r="C1296" s="92"/>
      <c r="D1296" s="82"/>
      <c r="E1296" s="82"/>
      <c r="F1296" s="96"/>
    </row>
    <row r="1297" spans="1:6" ht="13.5">
      <c r="A1297" s="86"/>
      <c r="B1297" s="91"/>
      <c r="C1297" s="92"/>
      <c r="D1297" s="82"/>
      <c r="E1297" s="82"/>
      <c r="F1297" s="96"/>
    </row>
    <row r="1298" spans="1:6" ht="13.5">
      <c r="A1298" s="86"/>
      <c r="B1298" s="91"/>
      <c r="C1298" s="92"/>
      <c r="D1298" s="82"/>
      <c r="E1298" s="82"/>
      <c r="F1298" s="96"/>
    </row>
    <row r="1299" spans="1:6" ht="13.5">
      <c r="A1299" s="86"/>
      <c r="B1299" s="91"/>
      <c r="C1299" s="92"/>
      <c r="D1299" s="82"/>
      <c r="E1299" s="82"/>
      <c r="F1299" s="96"/>
    </row>
    <row r="1300" spans="1:6" ht="13.5">
      <c r="A1300" s="86"/>
      <c r="B1300" s="91"/>
      <c r="C1300" s="92"/>
      <c r="D1300" s="82"/>
      <c r="E1300" s="82"/>
      <c r="F1300" s="96"/>
    </row>
    <row r="1301" spans="1:6" ht="13.5">
      <c r="A1301" s="86"/>
      <c r="B1301" s="91"/>
      <c r="C1301" s="92"/>
      <c r="D1301" s="82"/>
      <c r="E1301" s="82"/>
      <c r="F1301" s="96"/>
    </row>
    <row r="1302" spans="1:6" ht="13.5">
      <c r="A1302" s="86"/>
      <c r="B1302" s="91"/>
      <c r="C1302" s="92"/>
      <c r="D1302" s="82"/>
      <c r="E1302" s="82"/>
      <c r="F1302" s="96"/>
    </row>
    <row r="1303" spans="1:6" ht="13.5">
      <c r="A1303" s="86"/>
      <c r="B1303" s="91"/>
      <c r="C1303" s="92"/>
      <c r="D1303" s="82"/>
      <c r="E1303" s="82"/>
      <c r="F1303" s="96"/>
    </row>
    <row r="1304" spans="1:6" ht="13.5">
      <c r="A1304" s="86"/>
      <c r="B1304" s="91"/>
      <c r="C1304" s="92"/>
      <c r="D1304" s="82"/>
      <c r="E1304" s="82"/>
      <c r="F1304" s="96"/>
    </row>
    <row r="1305" spans="1:6" ht="13.5">
      <c r="A1305" s="86"/>
      <c r="B1305" s="91"/>
      <c r="C1305" s="92"/>
      <c r="D1305" s="82"/>
      <c r="E1305" s="82"/>
      <c r="F1305" s="96"/>
    </row>
    <row r="1306" spans="1:6" ht="13.5">
      <c r="A1306" s="86"/>
      <c r="B1306" s="91"/>
      <c r="C1306" s="92"/>
      <c r="D1306" s="82"/>
      <c r="E1306" s="82"/>
      <c r="F1306" s="96"/>
    </row>
    <row r="1307" spans="1:6" ht="13.5">
      <c r="A1307" s="86"/>
      <c r="B1307" s="91"/>
      <c r="C1307" s="92"/>
      <c r="D1307" s="82"/>
      <c r="E1307" s="82"/>
      <c r="F1307" s="96"/>
    </row>
    <row r="1308" spans="1:6" ht="13.5">
      <c r="A1308" s="86"/>
      <c r="B1308" s="91"/>
      <c r="C1308" s="92"/>
      <c r="D1308" s="82"/>
      <c r="E1308" s="82"/>
      <c r="F1308" s="96"/>
    </row>
    <row r="1309" spans="1:6" ht="13.5">
      <c r="A1309" s="86"/>
      <c r="B1309" s="91"/>
      <c r="C1309" s="92"/>
      <c r="D1309" s="82"/>
      <c r="E1309" s="82"/>
      <c r="F1309" s="96"/>
    </row>
    <row r="1310" spans="1:6" ht="13.5">
      <c r="A1310" s="86"/>
      <c r="B1310" s="91"/>
      <c r="C1310" s="92"/>
      <c r="D1310" s="82"/>
      <c r="E1310" s="82"/>
      <c r="F1310" s="96"/>
    </row>
    <row r="1311" spans="1:6" ht="13.5">
      <c r="A1311" s="86"/>
      <c r="B1311" s="91"/>
      <c r="C1311" s="92"/>
      <c r="D1311" s="82"/>
      <c r="E1311" s="82"/>
      <c r="F1311" s="96"/>
    </row>
    <row r="1312" spans="1:6" ht="13.5">
      <c r="A1312" s="86"/>
      <c r="B1312" s="91"/>
      <c r="C1312" s="92"/>
      <c r="D1312" s="82"/>
      <c r="E1312" s="82"/>
      <c r="F1312" s="96"/>
    </row>
    <row r="1313" spans="1:6" ht="13.5">
      <c r="A1313" s="86"/>
      <c r="B1313" s="91"/>
      <c r="C1313" s="92"/>
      <c r="D1313" s="82"/>
      <c r="E1313" s="82"/>
      <c r="F1313" s="96"/>
    </row>
    <row r="1314" spans="1:6" ht="13.5">
      <c r="A1314" s="86"/>
      <c r="B1314" s="91"/>
      <c r="C1314" s="92"/>
      <c r="D1314" s="82"/>
      <c r="E1314" s="82"/>
      <c r="F1314" s="96"/>
    </row>
    <row r="1315" spans="1:6" ht="13.5">
      <c r="A1315" s="86"/>
      <c r="B1315" s="91"/>
      <c r="C1315" s="92"/>
      <c r="D1315" s="82"/>
      <c r="E1315" s="82"/>
      <c r="F1315" s="96"/>
    </row>
    <row r="1316" spans="1:6" ht="13.5">
      <c r="A1316" s="86"/>
      <c r="B1316" s="91"/>
      <c r="C1316" s="92"/>
      <c r="D1316" s="82"/>
      <c r="E1316" s="82"/>
      <c r="F1316" s="96"/>
    </row>
    <row r="1317" spans="1:6" ht="13.5">
      <c r="A1317" s="86"/>
      <c r="B1317" s="91"/>
      <c r="C1317" s="92"/>
      <c r="D1317" s="82"/>
      <c r="E1317" s="82"/>
      <c r="F1317" s="96"/>
    </row>
    <row r="1318" spans="1:6" ht="13.5">
      <c r="A1318" s="86"/>
      <c r="B1318" s="91"/>
      <c r="C1318" s="92"/>
      <c r="D1318" s="82"/>
      <c r="E1318" s="82"/>
      <c r="F1318" s="96"/>
    </row>
    <row r="1319" spans="1:6" ht="13.5">
      <c r="A1319" s="86"/>
      <c r="B1319" s="91"/>
      <c r="C1319" s="92"/>
      <c r="D1319" s="82"/>
      <c r="E1319" s="82"/>
      <c r="F1319" s="96"/>
    </row>
    <row r="1320" spans="1:6" ht="13.5">
      <c r="A1320" s="86"/>
      <c r="B1320" s="91"/>
      <c r="C1320" s="92"/>
      <c r="D1320" s="82"/>
      <c r="E1320" s="82"/>
      <c r="F1320" s="96"/>
    </row>
    <row r="1321" spans="1:6" ht="13.5">
      <c r="A1321" s="86"/>
      <c r="B1321" s="91"/>
      <c r="C1321" s="92"/>
      <c r="D1321" s="82"/>
      <c r="E1321" s="82"/>
      <c r="F1321" s="96"/>
    </row>
    <row r="1322" spans="1:6" ht="13.5">
      <c r="A1322" s="86"/>
      <c r="B1322" s="91"/>
      <c r="C1322" s="92"/>
      <c r="D1322" s="82"/>
      <c r="E1322" s="82"/>
      <c r="F1322" s="96"/>
    </row>
    <row r="1323" spans="1:6" ht="13.5">
      <c r="A1323" s="86"/>
      <c r="B1323" s="91"/>
      <c r="C1323" s="92"/>
      <c r="D1323" s="82"/>
      <c r="E1323" s="82"/>
      <c r="F1323" s="96"/>
    </row>
    <row r="1324" spans="1:6" ht="13.5">
      <c r="A1324" s="86"/>
      <c r="B1324" s="91"/>
      <c r="C1324" s="92"/>
      <c r="D1324" s="82"/>
      <c r="E1324" s="82"/>
      <c r="F1324" s="96"/>
    </row>
    <row r="1325" spans="1:6" ht="13.5">
      <c r="A1325" s="86"/>
      <c r="B1325" s="91"/>
      <c r="C1325" s="92"/>
      <c r="D1325" s="82"/>
      <c r="E1325" s="82"/>
      <c r="F1325" s="96"/>
    </row>
    <row r="1326" spans="1:6" ht="13.5">
      <c r="A1326" s="86"/>
      <c r="B1326" s="91"/>
      <c r="C1326" s="92"/>
      <c r="D1326" s="82"/>
      <c r="E1326" s="82"/>
      <c r="F1326" s="96"/>
    </row>
    <row r="1327" spans="1:6" ht="13.5">
      <c r="A1327" s="86"/>
      <c r="B1327" s="91"/>
      <c r="C1327" s="92"/>
      <c r="D1327" s="82"/>
      <c r="E1327" s="82"/>
      <c r="F1327" s="96"/>
    </row>
    <row r="1328" spans="1:6" ht="13.5">
      <c r="A1328" s="86"/>
      <c r="B1328" s="91"/>
      <c r="C1328" s="92"/>
      <c r="D1328" s="82"/>
      <c r="E1328" s="82"/>
      <c r="F1328" s="96"/>
    </row>
    <row r="1329" spans="1:6" ht="13.5">
      <c r="A1329" s="86"/>
      <c r="B1329" s="91"/>
      <c r="C1329" s="92"/>
      <c r="D1329" s="82"/>
      <c r="E1329" s="82"/>
      <c r="F1329" s="96"/>
    </row>
    <row r="1330" spans="1:6" ht="13.5">
      <c r="A1330" s="86"/>
      <c r="B1330" s="91"/>
      <c r="C1330" s="92"/>
      <c r="D1330" s="82"/>
      <c r="E1330" s="82"/>
      <c r="F1330" s="96"/>
    </row>
    <row r="1331" spans="1:6" ht="13.5">
      <c r="A1331" s="86"/>
      <c r="B1331" s="91"/>
      <c r="C1331" s="92"/>
      <c r="D1331" s="82"/>
      <c r="E1331" s="82"/>
      <c r="F1331" s="96"/>
    </row>
    <row r="1332" spans="1:6" ht="13.5">
      <c r="A1332" s="86"/>
      <c r="B1332" s="91"/>
      <c r="C1332" s="92"/>
      <c r="D1332" s="82"/>
      <c r="E1332" s="82"/>
      <c r="F1332" s="96"/>
    </row>
    <row r="1333" spans="1:6" ht="13.5">
      <c r="A1333" s="86"/>
      <c r="B1333" s="91"/>
      <c r="C1333" s="92"/>
      <c r="D1333" s="82"/>
      <c r="E1333" s="82"/>
      <c r="F1333" s="96"/>
    </row>
    <row r="1334" spans="1:6" ht="13.5">
      <c r="A1334" s="86"/>
      <c r="B1334" s="91"/>
      <c r="C1334" s="92"/>
      <c r="D1334" s="82"/>
      <c r="E1334" s="82"/>
      <c r="F1334" s="96"/>
    </row>
    <row r="1335" spans="1:6" ht="13.5">
      <c r="A1335" s="86"/>
      <c r="B1335" s="91"/>
      <c r="C1335" s="92"/>
      <c r="D1335" s="82"/>
      <c r="E1335" s="82"/>
      <c r="F1335" s="96"/>
    </row>
    <row r="1336" spans="1:6" ht="13.5">
      <c r="A1336" s="86"/>
      <c r="B1336" s="91"/>
      <c r="C1336" s="92"/>
      <c r="D1336" s="82"/>
      <c r="E1336" s="82"/>
      <c r="F1336" s="96"/>
    </row>
    <row r="1337" spans="1:6" ht="13.5">
      <c r="A1337" s="86"/>
      <c r="B1337" s="91"/>
      <c r="C1337" s="92"/>
      <c r="D1337" s="82"/>
      <c r="E1337" s="82"/>
      <c r="F1337" s="96"/>
    </row>
    <row r="1338" spans="1:6" ht="13.5">
      <c r="A1338" s="86"/>
      <c r="B1338" s="91"/>
      <c r="C1338" s="92"/>
      <c r="D1338" s="82"/>
      <c r="E1338" s="82"/>
      <c r="F1338" s="96"/>
    </row>
    <row r="1339" spans="1:6" ht="13.5">
      <c r="A1339" s="86"/>
      <c r="B1339" s="91"/>
      <c r="C1339" s="92"/>
      <c r="D1339" s="82"/>
      <c r="E1339" s="82"/>
      <c r="F1339" s="96"/>
    </row>
    <row r="1340" spans="1:6" ht="13.5">
      <c r="A1340" s="86"/>
      <c r="B1340" s="91"/>
      <c r="C1340" s="92"/>
      <c r="D1340" s="82"/>
      <c r="E1340" s="82"/>
      <c r="F1340" s="96"/>
    </row>
    <row r="1341" spans="1:6" ht="13.5">
      <c r="A1341" s="86"/>
      <c r="B1341" s="91"/>
      <c r="C1341" s="92"/>
      <c r="D1341" s="82"/>
      <c r="E1341" s="82"/>
      <c r="F1341" s="96"/>
    </row>
    <row r="1342" spans="1:6" ht="13.5">
      <c r="A1342" s="86"/>
      <c r="B1342" s="91"/>
      <c r="C1342" s="92"/>
      <c r="D1342" s="82"/>
      <c r="E1342" s="82"/>
      <c r="F1342" s="96"/>
    </row>
    <row r="1343" spans="1:6" ht="13.5">
      <c r="A1343" s="86"/>
      <c r="B1343" s="91"/>
      <c r="C1343" s="92"/>
      <c r="D1343" s="82"/>
      <c r="E1343" s="82"/>
      <c r="F1343" s="96"/>
    </row>
    <row r="1344" spans="1:6" ht="13.5">
      <c r="A1344" s="86"/>
      <c r="B1344" s="91"/>
      <c r="C1344" s="92"/>
      <c r="D1344" s="82"/>
      <c r="E1344" s="82"/>
      <c r="F1344" s="96"/>
    </row>
    <row r="1345" spans="1:6" ht="13.5">
      <c r="A1345" s="86"/>
      <c r="B1345" s="91"/>
      <c r="C1345" s="92"/>
      <c r="D1345" s="82"/>
      <c r="E1345" s="82"/>
      <c r="F1345" s="96"/>
    </row>
    <row r="1346" spans="1:6" ht="13.5">
      <c r="A1346" s="86"/>
      <c r="B1346" s="91"/>
      <c r="C1346" s="92"/>
      <c r="D1346" s="82"/>
      <c r="E1346" s="82"/>
      <c r="F1346" s="96"/>
    </row>
    <row r="1347" spans="1:6" ht="13.5">
      <c r="A1347" s="86"/>
      <c r="B1347" s="91"/>
      <c r="C1347" s="92"/>
      <c r="D1347" s="82"/>
      <c r="E1347" s="82"/>
      <c r="F1347" s="96"/>
    </row>
    <row r="1348" spans="1:6" ht="13.5">
      <c r="A1348" s="86"/>
      <c r="B1348" s="91"/>
      <c r="C1348" s="92"/>
      <c r="D1348" s="82"/>
      <c r="E1348" s="82"/>
      <c r="F1348" s="96"/>
    </row>
    <row r="1349" spans="1:6" ht="13.5">
      <c r="A1349" s="86"/>
      <c r="B1349" s="91"/>
      <c r="C1349" s="92"/>
      <c r="D1349" s="82"/>
      <c r="E1349" s="82"/>
      <c r="F1349" s="96"/>
    </row>
    <row r="1350" spans="1:6" ht="13.5">
      <c r="A1350" s="86"/>
      <c r="B1350" s="91"/>
      <c r="C1350" s="92"/>
      <c r="D1350" s="82"/>
      <c r="E1350" s="82"/>
      <c r="F1350" s="96"/>
    </row>
    <row r="1351" spans="1:6" ht="13.5">
      <c r="A1351" s="86"/>
      <c r="B1351" s="91"/>
      <c r="C1351" s="92"/>
      <c r="D1351" s="82"/>
      <c r="E1351" s="82"/>
      <c r="F1351" s="96"/>
    </row>
    <row r="1352" spans="1:6" ht="13.5">
      <c r="A1352" s="86"/>
      <c r="B1352" s="91"/>
      <c r="C1352" s="92"/>
      <c r="D1352" s="82"/>
      <c r="E1352" s="82"/>
      <c r="F1352" s="96"/>
    </row>
    <row r="1353" spans="1:6" ht="13.5">
      <c r="A1353" s="86"/>
      <c r="B1353" s="91"/>
      <c r="C1353" s="92"/>
      <c r="D1353" s="82"/>
      <c r="E1353" s="82"/>
      <c r="F1353" s="96"/>
    </row>
    <row r="1354" spans="1:6" ht="13.5">
      <c r="A1354" s="86"/>
      <c r="B1354" s="91"/>
      <c r="C1354" s="92"/>
      <c r="D1354" s="82"/>
      <c r="E1354" s="82"/>
      <c r="F1354" s="96"/>
    </row>
    <row r="1355" spans="1:6" ht="13.5">
      <c r="A1355" s="86"/>
      <c r="B1355" s="91"/>
      <c r="C1355" s="92"/>
      <c r="D1355" s="82"/>
      <c r="E1355" s="82"/>
      <c r="F1355" s="96"/>
    </row>
    <row r="1356" spans="1:6" ht="13.5">
      <c r="A1356" s="86"/>
      <c r="B1356" s="91"/>
      <c r="C1356" s="92"/>
      <c r="D1356" s="82"/>
      <c r="E1356" s="82"/>
      <c r="F1356" s="96"/>
    </row>
    <row r="1357" spans="1:6" ht="13.5">
      <c r="A1357" s="86"/>
      <c r="B1357" s="91"/>
      <c r="C1357" s="92"/>
      <c r="D1357" s="82"/>
      <c r="E1357" s="82"/>
      <c r="F1357" s="96"/>
    </row>
    <row r="1358" spans="1:6" ht="13.5">
      <c r="A1358" s="86"/>
      <c r="B1358" s="91"/>
      <c r="C1358" s="92"/>
      <c r="D1358" s="82"/>
      <c r="E1358" s="82"/>
      <c r="F1358" s="96"/>
    </row>
    <row r="1359" spans="1:6" ht="13.5">
      <c r="A1359" s="86"/>
      <c r="B1359" s="91"/>
      <c r="C1359" s="92"/>
      <c r="D1359" s="82"/>
      <c r="E1359" s="82"/>
      <c r="F1359" s="96"/>
    </row>
    <row r="1360" spans="1:6" ht="13.5">
      <c r="A1360" s="86"/>
      <c r="B1360" s="91"/>
      <c r="C1360" s="92"/>
      <c r="D1360" s="82"/>
      <c r="E1360" s="82"/>
      <c r="F1360" s="96"/>
    </row>
    <row r="1361" spans="1:6" ht="13.5">
      <c r="A1361" s="86"/>
      <c r="B1361" s="91"/>
      <c r="C1361" s="92"/>
      <c r="D1361" s="82"/>
      <c r="E1361" s="82"/>
      <c r="F1361" s="96"/>
    </row>
    <row r="1362" spans="1:6" ht="13.5">
      <c r="A1362" s="86"/>
      <c r="B1362" s="91"/>
      <c r="C1362" s="92"/>
      <c r="D1362" s="82"/>
      <c r="E1362" s="82"/>
      <c r="F1362" s="96"/>
    </row>
    <row r="1363" spans="1:6" ht="13.5">
      <c r="A1363" s="86"/>
      <c r="B1363" s="91"/>
      <c r="C1363" s="92"/>
      <c r="D1363" s="82"/>
      <c r="E1363" s="82"/>
      <c r="F1363" s="96"/>
    </row>
    <row r="1364" spans="1:6" ht="13.5">
      <c r="A1364" s="86"/>
      <c r="B1364" s="91"/>
      <c r="C1364" s="92"/>
      <c r="D1364" s="82"/>
      <c r="E1364" s="82"/>
      <c r="F1364" s="96"/>
    </row>
    <row r="1365" spans="1:6" ht="13.5">
      <c r="A1365" s="86"/>
      <c r="B1365" s="91"/>
      <c r="C1365" s="92"/>
      <c r="D1365" s="82"/>
      <c r="E1365" s="82"/>
      <c r="F1365" s="96"/>
    </row>
    <row r="1366" spans="1:6" ht="13.5">
      <c r="A1366" s="86"/>
      <c r="B1366" s="91"/>
      <c r="C1366" s="92"/>
      <c r="D1366" s="82"/>
      <c r="E1366" s="82"/>
      <c r="F1366" s="96"/>
    </row>
    <row r="1367" spans="1:6" ht="13.5">
      <c r="A1367" s="86"/>
      <c r="B1367" s="91"/>
      <c r="C1367" s="92"/>
      <c r="D1367" s="82"/>
      <c r="E1367" s="82"/>
      <c r="F1367" s="96"/>
    </row>
    <row r="1368" spans="1:6" ht="13.5">
      <c r="A1368" s="86"/>
      <c r="B1368" s="91"/>
      <c r="C1368" s="92"/>
      <c r="D1368" s="82"/>
      <c r="E1368" s="82"/>
      <c r="F1368" s="96"/>
    </row>
    <row r="1369" spans="1:6" ht="13.5">
      <c r="A1369" s="86"/>
      <c r="B1369" s="91"/>
      <c r="C1369" s="92"/>
      <c r="D1369" s="82"/>
      <c r="E1369" s="82"/>
      <c r="F1369" s="96"/>
    </row>
    <row r="1370" spans="1:6" ht="13.5">
      <c r="A1370" s="86"/>
      <c r="B1370" s="91"/>
      <c r="C1370" s="92"/>
      <c r="D1370" s="82"/>
      <c r="E1370" s="82"/>
      <c r="F1370" s="96"/>
    </row>
    <row r="1371" spans="1:6" ht="13.5">
      <c r="A1371" s="86"/>
      <c r="B1371" s="91"/>
      <c r="C1371" s="92"/>
      <c r="D1371" s="82"/>
      <c r="E1371" s="82"/>
      <c r="F1371" s="96"/>
    </row>
    <row r="1372" spans="1:6" ht="13.5">
      <c r="A1372" s="86"/>
      <c r="B1372" s="91"/>
      <c r="C1372" s="92"/>
      <c r="D1372" s="82"/>
      <c r="E1372" s="82"/>
      <c r="F1372" s="96"/>
    </row>
    <row r="1373" spans="1:6" ht="13.5">
      <c r="A1373" s="86"/>
      <c r="B1373" s="91"/>
      <c r="C1373" s="92"/>
      <c r="D1373" s="82"/>
      <c r="E1373" s="82"/>
      <c r="F1373" s="96"/>
    </row>
    <row r="1374" spans="1:6" ht="13.5">
      <c r="A1374" s="86"/>
      <c r="B1374" s="91"/>
      <c r="C1374" s="92"/>
      <c r="D1374" s="82"/>
      <c r="E1374" s="82"/>
      <c r="F1374" s="96"/>
    </row>
    <row r="1375" spans="1:6" ht="13.5">
      <c r="A1375" s="86"/>
      <c r="B1375" s="91"/>
      <c r="C1375" s="92"/>
      <c r="D1375" s="82"/>
      <c r="E1375" s="82"/>
      <c r="F1375" s="96"/>
    </row>
    <row r="1376" spans="1:6" ht="13.5">
      <c r="A1376" s="86"/>
      <c r="B1376" s="91"/>
      <c r="C1376" s="92"/>
      <c r="D1376" s="82"/>
      <c r="E1376" s="82"/>
      <c r="F1376" s="96"/>
    </row>
    <row r="1377" spans="1:6" ht="13.5">
      <c r="A1377" s="86"/>
      <c r="B1377" s="91"/>
      <c r="C1377" s="92"/>
      <c r="D1377" s="82"/>
      <c r="E1377" s="82"/>
      <c r="F1377" s="96"/>
    </row>
    <row r="1378" spans="1:6" ht="13.5">
      <c r="A1378" s="86"/>
      <c r="B1378" s="91"/>
      <c r="C1378" s="92"/>
      <c r="D1378" s="82"/>
      <c r="E1378" s="82"/>
      <c r="F1378" s="96"/>
    </row>
    <row r="1379" spans="1:6" ht="13.5">
      <c r="A1379" s="86"/>
      <c r="B1379" s="91"/>
      <c r="C1379" s="92"/>
      <c r="D1379" s="82"/>
      <c r="E1379" s="82"/>
      <c r="F1379" s="96"/>
    </row>
    <row r="1380" spans="1:6" ht="13.5">
      <c r="A1380" s="86"/>
      <c r="B1380" s="91"/>
      <c r="C1380" s="92"/>
      <c r="D1380" s="82"/>
      <c r="E1380" s="82"/>
      <c r="F1380" s="96"/>
    </row>
    <row r="1381" spans="1:6" ht="13.5">
      <c r="A1381" s="86"/>
      <c r="B1381" s="91"/>
      <c r="C1381" s="92"/>
      <c r="D1381" s="82"/>
      <c r="E1381" s="82"/>
      <c r="F1381" s="96"/>
    </row>
    <row r="1382" spans="1:6" ht="13.5">
      <c r="A1382" s="86"/>
      <c r="B1382" s="91"/>
      <c r="C1382" s="92"/>
      <c r="D1382" s="82"/>
      <c r="E1382" s="82"/>
      <c r="F1382" s="96"/>
    </row>
    <row r="1383" spans="1:6" ht="13.5">
      <c r="A1383" s="86"/>
      <c r="B1383" s="91"/>
      <c r="C1383" s="92"/>
      <c r="D1383" s="82"/>
      <c r="E1383" s="82"/>
      <c r="F1383" s="96"/>
    </row>
    <row r="1384" spans="1:6" ht="13.5">
      <c r="A1384" s="86"/>
      <c r="B1384" s="91"/>
      <c r="C1384" s="92"/>
      <c r="D1384" s="82"/>
      <c r="E1384" s="82"/>
      <c r="F1384" s="96"/>
    </row>
    <row r="1385" spans="1:6" ht="13.5">
      <c r="A1385" s="86"/>
      <c r="B1385" s="91"/>
      <c r="C1385" s="92"/>
      <c r="D1385" s="82"/>
      <c r="E1385" s="82"/>
      <c r="F1385" s="96"/>
    </row>
    <row r="1386" spans="1:6" ht="13.5">
      <c r="A1386" s="86"/>
      <c r="B1386" s="91"/>
      <c r="C1386" s="92"/>
      <c r="D1386" s="82"/>
      <c r="E1386" s="82"/>
      <c r="F1386" s="96"/>
    </row>
    <row r="1387" spans="1:6" ht="13.5">
      <c r="A1387" s="86"/>
      <c r="B1387" s="91"/>
      <c r="C1387" s="92"/>
      <c r="D1387" s="82"/>
      <c r="E1387" s="82"/>
      <c r="F1387" s="96"/>
    </row>
    <row r="1388" spans="1:6" ht="13.5">
      <c r="A1388" s="86"/>
      <c r="B1388" s="91"/>
      <c r="C1388" s="92"/>
      <c r="D1388" s="82"/>
      <c r="E1388" s="82"/>
      <c r="F1388" s="96"/>
    </row>
    <row r="1389" spans="1:6" ht="13.5">
      <c r="A1389" s="86"/>
      <c r="B1389" s="91"/>
      <c r="C1389" s="92"/>
      <c r="D1389" s="82"/>
      <c r="E1389" s="82"/>
      <c r="F1389" s="96"/>
    </row>
    <row r="1390" spans="1:6" ht="13.5">
      <c r="A1390" s="86"/>
      <c r="B1390" s="91"/>
      <c r="C1390" s="92"/>
      <c r="D1390" s="82"/>
      <c r="E1390" s="82"/>
      <c r="F1390" s="96"/>
    </row>
    <row r="1391" spans="1:6" ht="13.5">
      <c r="A1391" s="86"/>
      <c r="B1391" s="91"/>
      <c r="C1391" s="92"/>
      <c r="D1391" s="82"/>
      <c r="E1391" s="82"/>
      <c r="F1391" s="96"/>
    </row>
    <row r="1392" spans="1:6" ht="13.5">
      <c r="A1392" s="86"/>
      <c r="B1392" s="91"/>
      <c r="C1392" s="92"/>
      <c r="D1392" s="82"/>
      <c r="E1392" s="82"/>
      <c r="F1392" s="96"/>
    </row>
    <row r="1393" spans="1:6" ht="13.5">
      <c r="A1393" s="86"/>
      <c r="B1393" s="91"/>
      <c r="C1393" s="92"/>
      <c r="D1393" s="82"/>
      <c r="E1393" s="82"/>
      <c r="F1393" s="96"/>
    </row>
    <row r="1394" spans="1:6" ht="13.5">
      <c r="A1394" s="86"/>
      <c r="B1394" s="91"/>
      <c r="C1394" s="92"/>
      <c r="D1394" s="82"/>
      <c r="E1394" s="82"/>
      <c r="F1394" s="96"/>
    </row>
    <row r="1395" spans="1:6" ht="13.5">
      <c r="A1395" s="86"/>
      <c r="B1395" s="91"/>
      <c r="C1395" s="92"/>
      <c r="D1395" s="82"/>
      <c r="E1395" s="82"/>
      <c r="F1395" s="96"/>
    </row>
    <row r="1396" spans="1:6" ht="13.5">
      <c r="A1396" s="86"/>
      <c r="B1396" s="91"/>
      <c r="C1396" s="92"/>
      <c r="D1396" s="82"/>
      <c r="E1396" s="82"/>
      <c r="F1396" s="96"/>
    </row>
    <row r="1397" spans="1:6" ht="13.5">
      <c r="A1397" s="86"/>
      <c r="B1397" s="91"/>
      <c r="C1397" s="92"/>
      <c r="D1397" s="82"/>
      <c r="E1397" s="82"/>
      <c r="F1397" s="96"/>
    </row>
    <row r="1398" spans="1:6" ht="13.5">
      <c r="A1398" s="86"/>
      <c r="B1398" s="91"/>
      <c r="C1398" s="92"/>
      <c r="D1398" s="82"/>
      <c r="E1398" s="82"/>
      <c r="F1398" s="96"/>
    </row>
    <row r="1399" spans="1:6" ht="13.5">
      <c r="A1399" s="86"/>
      <c r="B1399" s="91"/>
      <c r="C1399" s="92"/>
      <c r="D1399" s="82"/>
      <c r="E1399" s="82"/>
      <c r="F1399" s="96"/>
    </row>
    <row r="1400" spans="1:6" ht="13.5">
      <c r="A1400" s="86"/>
      <c r="B1400" s="91"/>
      <c r="C1400" s="92"/>
      <c r="D1400" s="82"/>
      <c r="E1400" s="82"/>
      <c r="F1400" s="96"/>
    </row>
    <row r="1401" spans="1:6" ht="13.5">
      <c r="A1401" s="86"/>
      <c r="B1401" s="91"/>
      <c r="C1401" s="92"/>
      <c r="D1401" s="82"/>
      <c r="E1401" s="82"/>
      <c r="F1401" s="96"/>
    </row>
    <row r="1402" spans="1:6" ht="13.5">
      <c r="A1402" s="86"/>
      <c r="B1402" s="91"/>
      <c r="C1402" s="92"/>
      <c r="D1402" s="82"/>
      <c r="E1402" s="82"/>
      <c r="F1402" s="96"/>
    </row>
    <row r="1403" spans="1:6" ht="13.5">
      <c r="A1403" s="86"/>
      <c r="B1403" s="91"/>
      <c r="C1403" s="92"/>
      <c r="D1403" s="82"/>
      <c r="E1403" s="82"/>
      <c r="F1403" s="96"/>
    </row>
    <row r="1404" spans="1:6" ht="13.5">
      <c r="A1404" s="86"/>
      <c r="B1404" s="91"/>
      <c r="C1404" s="92"/>
      <c r="D1404" s="82"/>
      <c r="E1404" s="82"/>
      <c r="F1404" s="96"/>
    </row>
    <row r="1405" spans="1:6" ht="13.5">
      <c r="A1405" s="86"/>
      <c r="B1405" s="91"/>
      <c r="C1405" s="92"/>
      <c r="D1405" s="82"/>
      <c r="E1405" s="82"/>
      <c r="F1405" s="96"/>
    </row>
    <row r="1406" spans="1:6" ht="13.5">
      <c r="A1406" s="86"/>
      <c r="B1406" s="91"/>
      <c r="C1406" s="92"/>
      <c r="D1406" s="82"/>
      <c r="E1406" s="82"/>
      <c r="F1406" s="96"/>
    </row>
    <row r="1407" spans="1:6" ht="13.5">
      <c r="A1407" s="86"/>
      <c r="B1407" s="91"/>
      <c r="C1407" s="92"/>
      <c r="D1407" s="82"/>
      <c r="E1407" s="82"/>
      <c r="F1407" s="96"/>
    </row>
    <row r="1408" spans="1:6" ht="13.5">
      <c r="A1408" s="86"/>
      <c r="B1408" s="91"/>
      <c r="C1408" s="92"/>
      <c r="D1408" s="82"/>
      <c r="E1408" s="82"/>
      <c r="F1408" s="96"/>
    </row>
    <row r="1409" spans="1:6" ht="13.5">
      <c r="A1409" s="86"/>
      <c r="B1409" s="91"/>
      <c r="C1409" s="92"/>
      <c r="D1409" s="82"/>
      <c r="E1409" s="82"/>
      <c r="F1409" s="96"/>
    </row>
    <row r="1410" spans="1:6" ht="13.5">
      <c r="A1410" s="86"/>
      <c r="B1410" s="91"/>
      <c r="C1410" s="92"/>
      <c r="D1410" s="82"/>
      <c r="E1410" s="82"/>
      <c r="F1410" s="96"/>
    </row>
    <row r="1411" spans="1:6" ht="13.5">
      <c r="A1411" s="86"/>
      <c r="B1411" s="91"/>
      <c r="C1411" s="92"/>
      <c r="D1411" s="82"/>
      <c r="E1411" s="82"/>
      <c r="F1411" s="96"/>
    </row>
    <row r="1412" spans="1:6" ht="13.5">
      <c r="A1412" s="86"/>
      <c r="B1412" s="91"/>
      <c r="C1412" s="92"/>
      <c r="D1412" s="82"/>
      <c r="E1412" s="82"/>
      <c r="F1412" s="96"/>
    </row>
    <row r="1413" spans="1:6" ht="13.5">
      <c r="A1413" s="86"/>
      <c r="B1413" s="91"/>
      <c r="C1413" s="92"/>
      <c r="D1413" s="82"/>
      <c r="E1413" s="82"/>
      <c r="F1413" s="96"/>
    </row>
    <row r="1414" spans="1:6" ht="13.5">
      <c r="A1414" s="86"/>
      <c r="B1414" s="91"/>
      <c r="C1414" s="92"/>
      <c r="D1414" s="82"/>
      <c r="E1414" s="82"/>
      <c r="F1414" s="96"/>
    </row>
    <row r="1415" spans="1:6" ht="13.5">
      <c r="A1415" s="86"/>
      <c r="B1415" s="91"/>
      <c r="C1415" s="92"/>
      <c r="D1415" s="82"/>
      <c r="E1415" s="82"/>
      <c r="F1415" s="96"/>
    </row>
    <row r="1416" spans="1:6" ht="13.5">
      <c r="A1416" s="86"/>
      <c r="B1416" s="91"/>
      <c r="C1416" s="92"/>
      <c r="D1416" s="82"/>
      <c r="E1416" s="82"/>
      <c r="F1416" s="96"/>
    </row>
    <row r="1417" spans="1:6" ht="13.5">
      <c r="A1417" s="86"/>
      <c r="B1417" s="91"/>
      <c r="C1417" s="92"/>
      <c r="D1417" s="82"/>
      <c r="E1417" s="82"/>
      <c r="F1417" s="96"/>
    </row>
    <row r="1418" spans="1:6" ht="13.5">
      <c r="A1418" s="86"/>
      <c r="B1418" s="91"/>
      <c r="C1418" s="92"/>
      <c r="D1418" s="82"/>
      <c r="E1418" s="82"/>
      <c r="F1418" s="96"/>
    </row>
    <row r="1419" spans="1:6" ht="13.5">
      <c r="A1419" s="86"/>
      <c r="B1419" s="91"/>
      <c r="C1419" s="92"/>
      <c r="D1419" s="82"/>
      <c r="E1419" s="82"/>
      <c r="F1419" s="96"/>
    </row>
    <row r="1420" spans="1:6" ht="13.5">
      <c r="A1420" s="86"/>
      <c r="B1420" s="91"/>
      <c r="C1420" s="92"/>
      <c r="D1420" s="82"/>
      <c r="E1420" s="82"/>
      <c r="F1420" s="96"/>
    </row>
    <row r="1421" spans="1:6" ht="13.5">
      <c r="A1421" s="86"/>
      <c r="B1421" s="91"/>
      <c r="C1421" s="92"/>
      <c r="D1421" s="82"/>
      <c r="E1421" s="82"/>
      <c r="F1421" s="96"/>
    </row>
    <row r="1422" spans="1:6" ht="13.5">
      <c r="A1422" s="86"/>
      <c r="B1422" s="91"/>
      <c r="C1422" s="92"/>
      <c r="D1422" s="82"/>
      <c r="E1422" s="82"/>
      <c r="F1422" s="96"/>
    </row>
    <row r="1423" spans="1:6" ht="13.5">
      <c r="A1423" s="86"/>
      <c r="B1423" s="91"/>
      <c r="C1423" s="92"/>
      <c r="D1423" s="82"/>
      <c r="E1423" s="82"/>
      <c r="F1423" s="96"/>
    </row>
    <row r="1424" spans="1:6" ht="13.5">
      <c r="A1424" s="86"/>
      <c r="B1424" s="91"/>
      <c r="C1424" s="92"/>
      <c r="D1424" s="82"/>
      <c r="E1424" s="82"/>
      <c r="F1424" s="96"/>
    </row>
    <row r="1425" spans="1:6" ht="13.5">
      <c r="A1425" s="86"/>
      <c r="B1425" s="91"/>
      <c r="C1425" s="92"/>
      <c r="D1425" s="82"/>
      <c r="E1425" s="82"/>
      <c r="F1425" s="96"/>
    </row>
    <row r="1426" spans="1:6" ht="13.5">
      <c r="A1426" s="86"/>
      <c r="B1426" s="91"/>
      <c r="C1426" s="92"/>
      <c r="D1426" s="82"/>
      <c r="E1426" s="82"/>
      <c r="F1426" s="96"/>
    </row>
    <row r="1427" spans="1:6" ht="13.5">
      <c r="A1427" s="86"/>
      <c r="B1427" s="91"/>
      <c r="C1427" s="92"/>
      <c r="D1427" s="82"/>
      <c r="E1427" s="82"/>
      <c r="F1427" s="96"/>
    </row>
    <row r="1428" spans="1:6" ht="13.5">
      <c r="A1428" s="86"/>
      <c r="B1428" s="91"/>
      <c r="C1428" s="92"/>
      <c r="D1428" s="82"/>
      <c r="E1428" s="82"/>
      <c r="F1428" s="96"/>
    </row>
    <row r="1429" spans="1:6" ht="13.5">
      <c r="A1429" s="86"/>
      <c r="B1429" s="91"/>
      <c r="C1429" s="92"/>
      <c r="D1429" s="82"/>
      <c r="E1429" s="82"/>
      <c r="F1429" s="96"/>
    </row>
    <row r="1430" spans="1:6" ht="13.5">
      <c r="A1430" s="86"/>
      <c r="B1430" s="91"/>
      <c r="C1430" s="92"/>
      <c r="D1430" s="82"/>
      <c r="E1430" s="82"/>
      <c r="F1430" s="96"/>
    </row>
    <row r="1431" spans="1:6" ht="13.5">
      <c r="A1431" s="86"/>
      <c r="B1431" s="91"/>
      <c r="C1431" s="92"/>
      <c r="D1431" s="82"/>
      <c r="E1431" s="82"/>
      <c r="F1431" s="96"/>
    </row>
    <row r="1432" spans="1:6" ht="13.5">
      <c r="A1432" s="86"/>
      <c r="B1432" s="91"/>
      <c r="C1432" s="92"/>
      <c r="D1432" s="82"/>
      <c r="E1432" s="82"/>
      <c r="F1432" s="96"/>
    </row>
    <row r="1433" spans="1:6" ht="13.5">
      <c r="A1433" s="86"/>
      <c r="B1433" s="91"/>
      <c r="C1433" s="92"/>
      <c r="D1433" s="82"/>
      <c r="E1433" s="82"/>
      <c r="F1433" s="96"/>
    </row>
    <row r="1434" spans="1:6" ht="13.5">
      <c r="A1434" s="86"/>
      <c r="B1434" s="91"/>
      <c r="C1434" s="92"/>
      <c r="D1434" s="82"/>
      <c r="E1434" s="82"/>
      <c r="F1434" s="96"/>
    </row>
    <row r="1435" spans="1:6" ht="13.5">
      <c r="A1435" s="86"/>
      <c r="B1435" s="91"/>
      <c r="C1435" s="92"/>
      <c r="D1435" s="82"/>
      <c r="E1435" s="82"/>
      <c r="F1435" s="96"/>
    </row>
    <row r="1436" spans="1:6" ht="13.5">
      <c r="A1436" s="86"/>
      <c r="B1436" s="91"/>
      <c r="C1436" s="92"/>
      <c r="D1436" s="82"/>
      <c r="E1436" s="82"/>
      <c r="F1436" s="96"/>
    </row>
    <row r="1437" spans="1:6" ht="13.5">
      <c r="A1437" s="86"/>
      <c r="B1437" s="91"/>
      <c r="C1437" s="92"/>
      <c r="D1437" s="82"/>
      <c r="E1437" s="82"/>
      <c r="F1437" s="96"/>
    </row>
    <row r="1438" spans="1:6" ht="13.5">
      <c r="A1438" s="86"/>
      <c r="B1438" s="91"/>
      <c r="C1438" s="92"/>
      <c r="D1438" s="82"/>
      <c r="E1438" s="82"/>
      <c r="F1438" s="96"/>
    </row>
    <row r="1439" spans="1:6" ht="13.5">
      <c r="A1439" s="86"/>
      <c r="B1439" s="91"/>
      <c r="C1439" s="92"/>
      <c r="D1439" s="82"/>
      <c r="E1439" s="82"/>
      <c r="F1439" s="96"/>
    </row>
    <row r="1440" spans="1:6" ht="13.5">
      <c r="A1440" s="86"/>
      <c r="B1440" s="91"/>
      <c r="C1440" s="92"/>
      <c r="D1440" s="82"/>
      <c r="E1440" s="82"/>
      <c r="F1440" s="96"/>
    </row>
    <row r="1441" spans="1:6" ht="13.5">
      <c r="A1441" s="86"/>
      <c r="B1441" s="91"/>
      <c r="C1441" s="92"/>
      <c r="D1441" s="82"/>
      <c r="E1441" s="82"/>
      <c r="F1441" s="96"/>
    </row>
    <row r="1442" spans="1:6" ht="13.5">
      <c r="A1442" s="86"/>
      <c r="B1442" s="91"/>
      <c r="C1442" s="92"/>
      <c r="D1442" s="82"/>
      <c r="E1442" s="82"/>
      <c r="F1442" s="96"/>
    </row>
    <row r="1443" spans="1:6" ht="13.5">
      <c r="A1443" s="86"/>
      <c r="B1443" s="91"/>
      <c r="C1443" s="92"/>
      <c r="D1443" s="82"/>
      <c r="E1443" s="82"/>
      <c r="F1443" s="96"/>
    </row>
    <row r="1444" spans="1:6" ht="13.5">
      <c r="A1444" s="86"/>
      <c r="B1444" s="91"/>
      <c r="C1444" s="92"/>
      <c r="D1444" s="82"/>
      <c r="E1444" s="82"/>
      <c r="F1444" s="96"/>
    </row>
    <row r="1445" spans="1:6" ht="13.5">
      <c r="A1445" s="86"/>
      <c r="B1445" s="91"/>
      <c r="C1445" s="92"/>
      <c r="D1445" s="82"/>
      <c r="E1445" s="82"/>
      <c r="F1445" s="96"/>
    </row>
    <row r="1446" spans="1:6" ht="13.5">
      <c r="A1446" s="86"/>
      <c r="B1446" s="91"/>
      <c r="C1446" s="92"/>
      <c r="D1446" s="82"/>
      <c r="E1446" s="82"/>
      <c r="F1446" s="96"/>
    </row>
    <row r="1447" spans="1:6" ht="13.5">
      <c r="A1447" s="86"/>
      <c r="B1447" s="91"/>
      <c r="C1447" s="92"/>
      <c r="D1447" s="82"/>
      <c r="E1447" s="82"/>
      <c r="F1447" s="96"/>
    </row>
    <row r="1448" spans="1:6" ht="13.5">
      <c r="A1448" s="86"/>
      <c r="B1448" s="91"/>
      <c r="C1448" s="92"/>
      <c r="D1448" s="82"/>
      <c r="E1448" s="82"/>
      <c r="F1448" s="96"/>
    </row>
    <row r="1449" spans="1:6" ht="13.5">
      <c r="A1449" s="86"/>
      <c r="B1449" s="91"/>
      <c r="C1449" s="92"/>
      <c r="D1449" s="82"/>
      <c r="E1449" s="82"/>
      <c r="F1449" s="96"/>
    </row>
    <row r="1450" spans="1:6" ht="13.5">
      <c r="A1450" s="86"/>
      <c r="B1450" s="91"/>
      <c r="C1450" s="92"/>
      <c r="D1450" s="82"/>
      <c r="E1450" s="82"/>
      <c r="F1450" s="96"/>
    </row>
    <row r="1451" spans="1:6" ht="13.5">
      <c r="A1451" s="86"/>
      <c r="B1451" s="91"/>
      <c r="C1451" s="92"/>
      <c r="D1451" s="82"/>
      <c r="E1451" s="82"/>
      <c r="F1451" s="96"/>
    </row>
    <row r="1452" spans="1:6" ht="13.5">
      <c r="A1452" s="86"/>
      <c r="B1452" s="91"/>
      <c r="C1452" s="92"/>
      <c r="D1452" s="82"/>
      <c r="E1452" s="82"/>
      <c r="F1452" s="96"/>
    </row>
    <row r="1453" spans="1:6" ht="13.5">
      <c r="A1453" s="86"/>
      <c r="B1453" s="91"/>
      <c r="C1453" s="92"/>
      <c r="D1453" s="82"/>
      <c r="E1453" s="82"/>
      <c r="F1453" s="96"/>
    </row>
    <row r="1454" spans="1:6" ht="13.5">
      <c r="A1454" s="86"/>
      <c r="B1454" s="91"/>
      <c r="C1454" s="92"/>
      <c r="D1454" s="82"/>
      <c r="E1454" s="82"/>
      <c r="F1454" s="96"/>
    </row>
    <row r="1455" spans="1:6" ht="13.5">
      <c r="A1455" s="86"/>
      <c r="B1455" s="91"/>
      <c r="C1455" s="92"/>
      <c r="D1455" s="82"/>
      <c r="E1455" s="82"/>
      <c r="F1455" s="96"/>
    </row>
    <row r="1456" spans="1:6" ht="13.5">
      <c r="A1456" s="86"/>
      <c r="B1456" s="91"/>
      <c r="C1456" s="92"/>
      <c r="D1456" s="82"/>
      <c r="E1456" s="82"/>
      <c r="F1456" s="96"/>
    </row>
    <row r="1457" spans="1:6" ht="13.5">
      <c r="A1457" s="86"/>
      <c r="B1457" s="91"/>
      <c r="C1457" s="92"/>
      <c r="D1457" s="82"/>
      <c r="E1457" s="82"/>
      <c r="F1457" s="96"/>
    </row>
    <row r="1458" spans="1:6" ht="13.5">
      <c r="A1458" s="86"/>
      <c r="B1458" s="91"/>
      <c r="C1458" s="92"/>
      <c r="D1458" s="82"/>
      <c r="E1458" s="82"/>
      <c r="F1458" s="96"/>
    </row>
    <row r="1459" spans="1:6" ht="13.5">
      <c r="A1459" s="86"/>
      <c r="B1459" s="91"/>
      <c r="C1459" s="92"/>
      <c r="D1459" s="82"/>
      <c r="E1459" s="82"/>
      <c r="F1459" s="96"/>
    </row>
    <row r="1460" spans="1:6" ht="13.5">
      <c r="A1460" s="86"/>
      <c r="B1460" s="91"/>
      <c r="C1460" s="92"/>
      <c r="D1460" s="82"/>
      <c r="E1460" s="82"/>
      <c r="F1460" s="96"/>
    </row>
    <row r="1461" spans="1:6" ht="13.5">
      <c r="A1461" s="86"/>
      <c r="B1461" s="91"/>
      <c r="C1461" s="92"/>
      <c r="D1461" s="82"/>
      <c r="E1461" s="82"/>
      <c r="F1461" s="96"/>
    </row>
    <row r="1462" spans="1:6" ht="13.5">
      <c r="A1462" s="86"/>
      <c r="B1462" s="91"/>
      <c r="C1462" s="92"/>
      <c r="D1462" s="82"/>
      <c r="E1462" s="82"/>
      <c r="F1462" s="96"/>
    </row>
    <row r="1463" spans="1:6" ht="13.5">
      <c r="A1463" s="86"/>
      <c r="B1463" s="91"/>
      <c r="C1463" s="92"/>
      <c r="D1463" s="82"/>
      <c r="E1463" s="82"/>
      <c r="F1463" s="96"/>
    </row>
    <row r="1464" spans="1:6" ht="13.5">
      <c r="A1464" s="86"/>
      <c r="B1464" s="91"/>
      <c r="C1464" s="92"/>
      <c r="D1464" s="82"/>
      <c r="E1464" s="82"/>
      <c r="F1464" s="96"/>
    </row>
    <row r="1465" spans="1:6" ht="13.5">
      <c r="A1465" s="86"/>
      <c r="B1465" s="91"/>
      <c r="C1465" s="92"/>
      <c r="D1465" s="82"/>
      <c r="E1465" s="82"/>
      <c r="F1465" s="96"/>
    </row>
    <row r="1466" spans="1:6" ht="13.5">
      <c r="A1466" s="86"/>
      <c r="B1466" s="91"/>
      <c r="C1466" s="92"/>
      <c r="D1466" s="82"/>
      <c r="E1466" s="82"/>
      <c r="F1466" s="96"/>
    </row>
    <row r="1467" spans="1:6" ht="13.5">
      <c r="A1467" s="86"/>
      <c r="B1467" s="91"/>
      <c r="C1467" s="92"/>
      <c r="D1467" s="82"/>
      <c r="E1467" s="82"/>
      <c r="F1467" s="96"/>
    </row>
    <row r="1468" spans="1:6" ht="13.5">
      <c r="A1468" s="86"/>
      <c r="B1468" s="91"/>
      <c r="C1468" s="92"/>
      <c r="D1468" s="82"/>
      <c r="E1468" s="82"/>
      <c r="F1468" s="96"/>
    </row>
    <row r="1469" spans="1:6" ht="13.5">
      <c r="A1469" s="86"/>
      <c r="B1469" s="91"/>
      <c r="C1469" s="92"/>
      <c r="D1469" s="82"/>
      <c r="E1469" s="82"/>
      <c r="F1469" s="96"/>
    </row>
    <row r="1470" spans="1:6" ht="13.5">
      <c r="A1470" s="86"/>
      <c r="B1470" s="91"/>
      <c r="C1470" s="92"/>
      <c r="D1470" s="82"/>
      <c r="E1470" s="82"/>
      <c r="F1470" s="96"/>
    </row>
    <row r="1471" spans="1:6" ht="13.5">
      <c r="A1471" s="86"/>
      <c r="B1471" s="91"/>
      <c r="C1471" s="92"/>
      <c r="D1471" s="82"/>
      <c r="E1471" s="82"/>
      <c r="F1471" s="96"/>
    </row>
    <row r="1472" spans="1:6" ht="13.5">
      <c r="A1472" s="86"/>
      <c r="B1472" s="91"/>
      <c r="C1472" s="92"/>
      <c r="D1472" s="82"/>
      <c r="E1472" s="82"/>
      <c r="F1472" s="96"/>
    </row>
    <row r="1473" spans="1:6" ht="13.5">
      <c r="A1473" s="86"/>
      <c r="B1473" s="91"/>
      <c r="C1473" s="92"/>
      <c r="D1473" s="82"/>
      <c r="E1473" s="82"/>
      <c r="F1473" s="96"/>
    </row>
    <row r="1474" spans="1:6" ht="13.5">
      <c r="A1474" s="86"/>
      <c r="B1474" s="91"/>
      <c r="C1474" s="92"/>
      <c r="D1474" s="82"/>
      <c r="E1474" s="82"/>
      <c r="F1474" s="96"/>
    </row>
    <row r="1475" spans="1:6" ht="13.5">
      <c r="A1475" s="86"/>
      <c r="B1475" s="91"/>
      <c r="C1475" s="92"/>
      <c r="D1475" s="82"/>
      <c r="E1475" s="82"/>
      <c r="F1475" s="96"/>
    </row>
    <row r="1476" spans="1:6" ht="13.5">
      <c r="A1476" s="86"/>
      <c r="B1476" s="91"/>
      <c r="C1476" s="92"/>
      <c r="D1476" s="82"/>
      <c r="E1476" s="82"/>
      <c r="F1476" s="96"/>
    </row>
    <row r="1477" spans="1:6" ht="13.5">
      <c r="A1477" s="86"/>
      <c r="B1477" s="91"/>
      <c r="C1477" s="92"/>
      <c r="D1477" s="82"/>
      <c r="E1477" s="82"/>
      <c r="F1477" s="96"/>
    </row>
    <row r="1478" spans="1:6" ht="13.5">
      <c r="A1478" s="86"/>
      <c r="B1478" s="91"/>
      <c r="C1478" s="92"/>
      <c r="D1478" s="82"/>
      <c r="E1478" s="82"/>
      <c r="F1478" s="96"/>
    </row>
    <row r="1479" spans="1:6" ht="13.5">
      <c r="A1479" s="86"/>
      <c r="B1479" s="91"/>
      <c r="C1479" s="92"/>
      <c r="D1479" s="82"/>
      <c r="E1479" s="82"/>
      <c r="F1479" s="96"/>
    </row>
    <row r="1480" spans="1:6" ht="13.5">
      <c r="A1480" s="86"/>
      <c r="B1480" s="91"/>
      <c r="C1480" s="92"/>
      <c r="D1480" s="82"/>
      <c r="E1480" s="82"/>
      <c r="F1480" s="96"/>
    </row>
    <row r="1481" spans="1:6" ht="13.5">
      <c r="A1481" s="86"/>
      <c r="B1481" s="91"/>
      <c r="C1481" s="92"/>
      <c r="D1481" s="82"/>
      <c r="E1481" s="82"/>
      <c r="F1481" s="96"/>
    </row>
    <row r="1482" spans="1:6" ht="13.5">
      <c r="A1482" s="86"/>
      <c r="B1482" s="91"/>
      <c r="C1482" s="92"/>
      <c r="D1482" s="82"/>
      <c r="E1482" s="82"/>
      <c r="F1482" s="96"/>
    </row>
    <row r="1483" spans="1:6" ht="13.5">
      <c r="A1483" s="86"/>
      <c r="B1483" s="91"/>
      <c r="C1483" s="92"/>
      <c r="D1483" s="82"/>
      <c r="E1483" s="82"/>
      <c r="F1483" s="96"/>
    </row>
    <row r="1484" spans="1:6" ht="13.5">
      <c r="A1484" s="86"/>
      <c r="B1484" s="91"/>
      <c r="C1484" s="92"/>
      <c r="D1484" s="82"/>
      <c r="E1484" s="82"/>
      <c r="F1484" s="96"/>
    </row>
    <row r="1485" spans="1:6" ht="13.5">
      <c r="A1485" s="86"/>
      <c r="B1485" s="91"/>
      <c r="C1485" s="92"/>
      <c r="D1485" s="82"/>
      <c r="E1485" s="82"/>
      <c r="F1485" s="96"/>
    </row>
    <row r="1486" spans="1:6" ht="13.5">
      <c r="A1486" s="86"/>
      <c r="B1486" s="91"/>
      <c r="C1486" s="92"/>
      <c r="D1486" s="82"/>
      <c r="E1486" s="82"/>
      <c r="F1486" s="96"/>
    </row>
    <row r="1487" spans="1:6" ht="13.5">
      <c r="A1487" s="86"/>
      <c r="B1487" s="91"/>
      <c r="C1487" s="92"/>
      <c r="D1487" s="82"/>
      <c r="E1487" s="82"/>
      <c r="F1487" s="96"/>
    </row>
    <row r="1488" spans="1:6" ht="13.5">
      <c r="A1488" s="86"/>
      <c r="B1488" s="91"/>
      <c r="C1488" s="92"/>
      <c r="D1488" s="82"/>
      <c r="E1488" s="82"/>
      <c r="F1488" s="96"/>
    </row>
    <row r="1489" spans="1:6" ht="13.5">
      <c r="A1489" s="86"/>
      <c r="B1489" s="91"/>
      <c r="C1489" s="92"/>
      <c r="D1489" s="82"/>
      <c r="E1489" s="82"/>
      <c r="F1489" s="96"/>
    </row>
    <row r="1490" spans="1:6" ht="13.5">
      <c r="A1490" s="86"/>
      <c r="B1490" s="91"/>
      <c r="C1490" s="92"/>
      <c r="D1490" s="82"/>
      <c r="E1490" s="82"/>
      <c r="F1490" s="96"/>
    </row>
    <row r="1491" spans="1:6" ht="13.5">
      <c r="A1491" s="86"/>
      <c r="B1491" s="91"/>
      <c r="C1491" s="92"/>
      <c r="D1491" s="82"/>
      <c r="E1491" s="82"/>
      <c r="F1491" s="96"/>
    </row>
    <row r="1492" spans="1:6" ht="13.5">
      <c r="A1492" s="86"/>
      <c r="B1492" s="91"/>
      <c r="C1492" s="92"/>
      <c r="D1492" s="82"/>
      <c r="E1492" s="82"/>
      <c r="F1492" s="96"/>
    </row>
    <row r="1493" spans="1:6" ht="13.5">
      <c r="A1493" s="86"/>
      <c r="B1493" s="91"/>
      <c r="C1493" s="92"/>
      <c r="D1493" s="82"/>
      <c r="E1493" s="82"/>
      <c r="F1493" s="96"/>
    </row>
    <row r="1494" spans="1:6" ht="13.5">
      <c r="A1494" s="86"/>
      <c r="B1494" s="91"/>
      <c r="C1494" s="92"/>
      <c r="D1494" s="82"/>
      <c r="E1494" s="82"/>
      <c r="F1494" s="96"/>
    </row>
    <row r="1495" spans="1:6" ht="13.5">
      <c r="A1495" s="86"/>
      <c r="B1495" s="91"/>
      <c r="C1495" s="92"/>
      <c r="D1495" s="82"/>
      <c r="E1495" s="82"/>
      <c r="F1495" s="96"/>
    </row>
    <row r="1496" spans="1:6" ht="13.5">
      <c r="A1496" s="86"/>
      <c r="B1496" s="91"/>
      <c r="C1496" s="92"/>
      <c r="D1496" s="82"/>
      <c r="E1496" s="82"/>
      <c r="F1496" s="96"/>
    </row>
    <row r="1497" spans="1:6" ht="13.5">
      <c r="A1497" s="86"/>
      <c r="B1497" s="91"/>
      <c r="C1497" s="92"/>
      <c r="D1497" s="82"/>
      <c r="E1497" s="82"/>
      <c r="F1497" s="96"/>
    </row>
    <row r="1498" spans="1:6" ht="13.5">
      <c r="A1498" s="86"/>
      <c r="B1498" s="91"/>
      <c r="C1498" s="92"/>
      <c r="D1498" s="82"/>
      <c r="E1498" s="82"/>
      <c r="F1498" s="96"/>
    </row>
    <row r="1499" spans="1:6" ht="13.5">
      <c r="A1499" s="86"/>
      <c r="B1499" s="91"/>
      <c r="C1499" s="92"/>
      <c r="D1499" s="82"/>
      <c r="E1499" s="82"/>
      <c r="F1499" s="96"/>
    </row>
    <row r="1500" spans="1:6" ht="13.5">
      <c r="A1500" s="86"/>
      <c r="B1500" s="91"/>
      <c r="C1500" s="92"/>
      <c r="D1500" s="82"/>
      <c r="E1500" s="82"/>
      <c r="F1500" s="96"/>
    </row>
    <row r="1501" spans="1:6" ht="13.5">
      <c r="A1501" s="86"/>
      <c r="B1501" s="91"/>
      <c r="C1501" s="92"/>
      <c r="D1501" s="82"/>
      <c r="E1501" s="82"/>
      <c r="F1501" s="96"/>
    </row>
    <row r="1502" spans="1:6" ht="13.5">
      <c r="A1502" s="86"/>
      <c r="B1502" s="91"/>
      <c r="C1502" s="92"/>
      <c r="D1502" s="82"/>
      <c r="E1502" s="82"/>
      <c r="F1502" s="96"/>
    </row>
    <row r="1503" spans="1:6" ht="13.5">
      <c r="A1503" s="86"/>
      <c r="B1503" s="91"/>
      <c r="C1503" s="92"/>
      <c r="D1503" s="82"/>
      <c r="E1503" s="82"/>
      <c r="F1503" s="96"/>
    </row>
    <row r="1504" spans="1:6" ht="13.5">
      <c r="A1504" s="86"/>
      <c r="B1504" s="91"/>
      <c r="C1504" s="92"/>
      <c r="D1504" s="82"/>
      <c r="E1504" s="82"/>
      <c r="F1504" s="96"/>
    </row>
    <row r="1505" spans="1:6" ht="13.5">
      <c r="A1505" s="86"/>
      <c r="B1505" s="91"/>
      <c r="C1505" s="92"/>
      <c r="D1505" s="82"/>
      <c r="E1505" s="82"/>
      <c r="F1505" s="96"/>
    </row>
    <row r="1506" spans="1:6" ht="13.5">
      <c r="A1506" s="86"/>
      <c r="B1506" s="91"/>
      <c r="C1506" s="92"/>
      <c r="D1506" s="82"/>
      <c r="E1506" s="82"/>
      <c r="F1506" s="96"/>
    </row>
    <row r="1507" spans="1:6" ht="13.5">
      <c r="A1507" s="86"/>
      <c r="B1507" s="91"/>
      <c r="C1507" s="92"/>
      <c r="D1507" s="82"/>
      <c r="E1507" s="82"/>
      <c r="F1507" s="96"/>
    </row>
    <row r="1508" spans="1:6" ht="13.5">
      <c r="A1508" s="86"/>
      <c r="B1508" s="91"/>
      <c r="C1508" s="92"/>
      <c r="D1508" s="82"/>
      <c r="E1508" s="82"/>
      <c r="F1508" s="96"/>
    </row>
    <row r="1509" spans="1:6" ht="13.5">
      <c r="A1509" s="86"/>
      <c r="B1509" s="91"/>
      <c r="C1509" s="92"/>
      <c r="D1509" s="82"/>
      <c r="E1509" s="82"/>
      <c r="F1509" s="96"/>
    </row>
    <row r="1510" spans="1:6" ht="13.5">
      <c r="A1510" s="86"/>
      <c r="B1510" s="91"/>
      <c r="C1510" s="92"/>
      <c r="D1510" s="82"/>
      <c r="E1510" s="82"/>
      <c r="F1510" s="96"/>
    </row>
    <row r="1511" spans="1:6" ht="13.5">
      <c r="A1511" s="86"/>
      <c r="B1511" s="91"/>
      <c r="C1511" s="92"/>
      <c r="D1511" s="82"/>
      <c r="E1511" s="82"/>
      <c r="F1511" s="96"/>
    </row>
    <row r="1512" spans="1:6" ht="13.5">
      <c r="A1512" s="86"/>
      <c r="B1512" s="91"/>
      <c r="C1512" s="92"/>
      <c r="D1512" s="82"/>
      <c r="E1512" s="82"/>
      <c r="F1512" s="96"/>
    </row>
    <row r="1513" spans="1:6" ht="13.5">
      <c r="A1513" s="86"/>
      <c r="B1513" s="91"/>
      <c r="C1513" s="92"/>
      <c r="D1513" s="82"/>
      <c r="E1513" s="82"/>
      <c r="F1513" s="96"/>
    </row>
    <row r="1514" spans="1:6" ht="13.5">
      <c r="A1514" s="86"/>
      <c r="B1514" s="91"/>
      <c r="C1514" s="92"/>
      <c r="D1514" s="82"/>
      <c r="E1514" s="82"/>
      <c r="F1514" s="96"/>
    </row>
    <row r="1515" spans="1:6" ht="13.5">
      <c r="A1515" s="86"/>
      <c r="B1515" s="91"/>
      <c r="C1515" s="92"/>
      <c r="D1515" s="82"/>
      <c r="E1515" s="82"/>
      <c r="F1515" s="96"/>
    </row>
    <row r="1516" spans="1:6" ht="13.5">
      <c r="A1516" s="86"/>
      <c r="B1516" s="91"/>
      <c r="C1516" s="92"/>
      <c r="D1516" s="82"/>
      <c r="E1516" s="82"/>
      <c r="F1516" s="96"/>
    </row>
    <row r="1517" spans="1:6" ht="13.5">
      <c r="A1517" s="86"/>
      <c r="B1517" s="91"/>
      <c r="C1517" s="92"/>
      <c r="D1517" s="82"/>
      <c r="E1517" s="82"/>
      <c r="F1517" s="96"/>
    </row>
    <row r="1518" spans="1:6" ht="13.5">
      <c r="A1518" s="86"/>
      <c r="B1518" s="91"/>
      <c r="C1518" s="92"/>
      <c r="D1518" s="82"/>
      <c r="E1518" s="82"/>
      <c r="F1518" s="96"/>
    </row>
    <row r="1519" spans="1:6" ht="13.5">
      <c r="A1519" s="86"/>
      <c r="B1519" s="91"/>
      <c r="C1519" s="92"/>
      <c r="D1519" s="82"/>
      <c r="E1519" s="82"/>
      <c r="F1519" s="96"/>
    </row>
    <row r="1520" spans="1:6" ht="13.5">
      <c r="A1520" s="86"/>
      <c r="B1520" s="91"/>
      <c r="C1520" s="92"/>
      <c r="D1520" s="82"/>
      <c r="E1520" s="82"/>
      <c r="F1520" s="96"/>
    </row>
    <row r="1521" spans="1:6" ht="13.5">
      <c r="A1521" s="86"/>
      <c r="B1521" s="91"/>
      <c r="C1521" s="92"/>
      <c r="D1521" s="82"/>
      <c r="E1521" s="82"/>
      <c r="F1521" s="96"/>
    </row>
    <row r="1522" spans="1:6" ht="13.5">
      <c r="A1522" s="86"/>
      <c r="B1522" s="91"/>
      <c r="C1522" s="92"/>
      <c r="D1522" s="82"/>
      <c r="E1522" s="82"/>
      <c r="F1522" s="96"/>
    </row>
    <row r="1523" spans="1:6" ht="13.5">
      <c r="A1523" s="86"/>
      <c r="B1523" s="91"/>
      <c r="C1523" s="92"/>
      <c r="D1523" s="82"/>
      <c r="E1523" s="82"/>
      <c r="F1523" s="96"/>
    </row>
    <row r="1524" spans="1:6" ht="13.5">
      <c r="A1524" s="86"/>
      <c r="B1524" s="91"/>
      <c r="C1524" s="92"/>
      <c r="D1524" s="82"/>
      <c r="E1524" s="82"/>
      <c r="F1524" s="96"/>
    </row>
    <row r="1525" spans="1:6" ht="13.5">
      <c r="A1525" s="86"/>
      <c r="B1525" s="91"/>
      <c r="C1525" s="92"/>
      <c r="D1525" s="82"/>
      <c r="E1525" s="82"/>
      <c r="F1525" s="96"/>
    </row>
    <row r="1526" spans="1:6" ht="13.5">
      <c r="A1526" s="86"/>
      <c r="B1526" s="91"/>
      <c r="C1526" s="92"/>
      <c r="D1526" s="82"/>
      <c r="E1526" s="82"/>
      <c r="F1526" s="96"/>
    </row>
    <row r="1527" spans="1:6" ht="13.5">
      <c r="A1527" s="86"/>
      <c r="B1527" s="91"/>
      <c r="C1527" s="92"/>
      <c r="D1527" s="82"/>
      <c r="E1527" s="82"/>
      <c r="F1527" s="96"/>
    </row>
    <row r="1528" spans="1:6" ht="13.5">
      <c r="A1528" s="86"/>
      <c r="B1528" s="91"/>
      <c r="C1528" s="92"/>
      <c r="D1528" s="82"/>
      <c r="E1528" s="82"/>
      <c r="F1528" s="96"/>
    </row>
    <row r="1529" spans="1:6" ht="13.5">
      <c r="A1529" s="86"/>
      <c r="B1529" s="91"/>
      <c r="C1529" s="92"/>
      <c r="D1529" s="82"/>
      <c r="E1529" s="82"/>
      <c r="F1529" s="96"/>
    </row>
    <row r="1530" spans="1:6" ht="13.5">
      <c r="A1530" s="86"/>
      <c r="B1530" s="91"/>
      <c r="C1530" s="92"/>
      <c r="D1530" s="82"/>
      <c r="E1530" s="82"/>
      <c r="F1530" s="96"/>
    </row>
    <row r="1531" spans="1:6" ht="13.5">
      <c r="A1531" s="86"/>
      <c r="B1531" s="91"/>
      <c r="C1531" s="92"/>
      <c r="D1531" s="82"/>
      <c r="E1531" s="82"/>
      <c r="F1531" s="96"/>
    </row>
    <row r="1532" spans="1:6" ht="13.5">
      <c r="A1532" s="86"/>
      <c r="B1532" s="91"/>
      <c r="C1532" s="92"/>
      <c r="D1532" s="82"/>
      <c r="E1532" s="82"/>
      <c r="F1532" s="96"/>
    </row>
    <row r="1533" spans="1:6" ht="13.5">
      <c r="A1533" s="86"/>
      <c r="B1533" s="91"/>
      <c r="C1533" s="92"/>
      <c r="D1533" s="82"/>
      <c r="E1533" s="82"/>
      <c r="F1533" s="96"/>
    </row>
    <row r="1534" spans="1:6" ht="13.5">
      <c r="A1534" s="86"/>
      <c r="B1534" s="91"/>
      <c r="C1534" s="92"/>
      <c r="D1534" s="82"/>
      <c r="E1534" s="82"/>
      <c r="F1534" s="96"/>
    </row>
    <row r="1535" spans="1:6" ht="13.5">
      <c r="A1535" s="86"/>
      <c r="B1535" s="91"/>
      <c r="C1535" s="92"/>
      <c r="D1535" s="82"/>
      <c r="E1535" s="82"/>
      <c r="F1535" s="96"/>
    </row>
    <row r="1536" spans="1:6" ht="13.5">
      <c r="A1536" s="86"/>
      <c r="B1536" s="91"/>
      <c r="C1536" s="92"/>
      <c r="D1536" s="82"/>
      <c r="E1536" s="82"/>
      <c r="F1536" s="96"/>
    </row>
    <row r="1537" spans="1:6" ht="13.5">
      <c r="A1537" s="86"/>
      <c r="B1537" s="91"/>
      <c r="C1537" s="92"/>
      <c r="D1537" s="82"/>
      <c r="E1537" s="82"/>
      <c r="F1537" s="96"/>
    </row>
    <row r="1538" spans="1:6" ht="13.5">
      <c r="A1538" s="86"/>
      <c r="B1538" s="91"/>
      <c r="C1538" s="92"/>
      <c r="D1538" s="82"/>
      <c r="E1538" s="82"/>
      <c r="F1538" s="96"/>
    </row>
    <row r="1539" spans="1:6" ht="13.5">
      <c r="A1539" s="86"/>
      <c r="B1539" s="91"/>
      <c r="C1539" s="92"/>
      <c r="D1539" s="82"/>
      <c r="E1539" s="82"/>
      <c r="F1539" s="96"/>
    </row>
    <row r="1540" spans="1:6" ht="13.5">
      <c r="A1540" s="86"/>
      <c r="B1540" s="91"/>
      <c r="C1540" s="92"/>
      <c r="D1540" s="82"/>
      <c r="E1540" s="82"/>
      <c r="F1540" s="96"/>
    </row>
    <row r="1541" spans="1:6" ht="13.5">
      <c r="A1541" s="86"/>
      <c r="B1541" s="91"/>
      <c r="C1541" s="92"/>
      <c r="D1541" s="82"/>
      <c r="E1541" s="82"/>
      <c r="F1541" s="96"/>
    </row>
    <row r="1542" spans="1:6" ht="13.5">
      <c r="A1542" s="86"/>
      <c r="B1542" s="91"/>
      <c r="C1542" s="92"/>
      <c r="D1542" s="82"/>
      <c r="E1542" s="82"/>
      <c r="F1542" s="96"/>
    </row>
    <row r="1543" spans="1:6" ht="13.5">
      <c r="A1543" s="86"/>
      <c r="B1543" s="91"/>
      <c r="C1543" s="92"/>
      <c r="D1543" s="82"/>
      <c r="E1543" s="82"/>
      <c r="F1543" s="96"/>
    </row>
    <row r="1544" spans="1:6" ht="13.5">
      <c r="A1544" s="86"/>
      <c r="B1544" s="91"/>
      <c r="C1544" s="92"/>
      <c r="D1544" s="82"/>
      <c r="E1544" s="82"/>
      <c r="F1544" s="96"/>
    </row>
    <row r="1545" spans="1:6" ht="13.5">
      <c r="A1545" s="86"/>
      <c r="B1545" s="91"/>
      <c r="C1545" s="92"/>
      <c r="D1545" s="82"/>
      <c r="E1545" s="82"/>
      <c r="F1545" s="96"/>
    </row>
    <row r="1546" spans="1:6" ht="13.5">
      <c r="A1546" s="86"/>
      <c r="B1546" s="91"/>
      <c r="C1546" s="92"/>
      <c r="D1546" s="82"/>
      <c r="E1546" s="82"/>
      <c r="F1546" s="96"/>
    </row>
    <row r="1547" spans="1:6" ht="13.5">
      <c r="A1547" s="86"/>
      <c r="B1547" s="91"/>
      <c r="C1547" s="92"/>
      <c r="D1547" s="82"/>
      <c r="E1547" s="82"/>
      <c r="F1547" s="96"/>
    </row>
    <row r="1548" spans="1:6" ht="13.5">
      <c r="A1548" s="86"/>
      <c r="B1548" s="91"/>
      <c r="C1548" s="92"/>
      <c r="D1548" s="82"/>
      <c r="E1548" s="82"/>
      <c r="F1548" s="96"/>
    </row>
    <row r="1549" spans="1:6" ht="13.5">
      <c r="A1549" s="86"/>
      <c r="B1549" s="91"/>
      <c r="C1549" s="92"/>
      <c r="D1549" s="82"/>
      <c r="E1549" s="82"/>
      <c r="F1549" s="96"/>
    </row>
    <row r="1550" spans="1:6" ht="13.5">
      <c r="A1550" s="86"/>
      <c r="B1550" s="91"/>
      <c r="C1550" s="92"/>
      <c r="D1550" s="82"/>
      <c r="E1550" s="82"/>
      <c r="F1550" s="96"/>
    </row>
    <row r="1551" spans="1:6" ht="13.5">
      <c r="A1551" s="86"/>
      <c r="B1551" s="91"/>
      <c r="C1551" s="92"/>
      <c r="D1551" s="82"/>
      <c r="E1551" s="82"/>
      <c r="F1551" s="96"/>
    </row>
    <row r="1552" spans="1:6" ht="13.5">
      <c r="A1552" s="86"/>
      <c r="B1552" s="91"/>
      <c r="C1552" s="92"/>
      <c r="D1552" s="82"/>
      <c r="E1552" s="82"/>
      <c r="F1552" s="96"/>
    </row>
    <row r="1553" spans="1:6" ht="13.5">
      <c r="A1553" s="86"/>
      <c r="B1553" s="91"/>
      <c r="C1553" s="92"/>
      <c r="D1553" s="82"/>
      <c r="E1553" s="82"/>
      <c r="F1553" s="96"/>
    </row>
    <row r="1554" spans="1:6" ht="13.5">
      <c r="A1554" s="86"/>
      <c r="B1554" s="91"/>
      <c r="C1554" s="92"/>
      <c r="D1554" s="82"/>
      <c r="E1554" s="82"/>
      <c r="F1554" s="96"/>
    </row>
    <row r="1555" spans="1:6" ht="13.5">
      <c r="A1555" s="86"/>
      <c r="B1555" s="91"/>
      <c r="C1555" s="92"/>
      <c r="D1555" s="82"/>
      <c r="E1555" s="82"/>
      <c r="F1555" s="96"/>
    </row>
    <row r="1556" spans="1:6" ht="13.5">
      <c r="A1556" s="86"/>
      <c r="B1556" s="91"/>
      <c r="C1556" s="92"/>
      <c r="D1556" s="82"/>
      <c r="E1556" s="82"/>
      <c r="F1556" s="96"/>
    </row>
    <row r="1557" spans="1:6" ht="13.5">
      <c r="A1557" s="86"/>
      <c r="B1557" s="91"/>
      <c r="C1557" s="92"/>
      <c r="D1557" s="82"/>
      <c r="E1557" s="82"/>
      <c r="F1557" s="96"/>
    </row>
    <row r="1558" spans="1:6" ht="13.5">
      <c r="A1558" s="86"/>
      <c r="B1558" s="91"/>
      <c r="C1558" s="92"/>
      <c r="D1558" s="82"/>
      <c r="E1558" s="82"/>
      <c r="F1558" s="96"/>
    </row>
    <row r="1559" spans="1:6" ht="13.5">
      <c r="A1559" s="86"/>
      <c r="B1559" s="91"/>
      <c r="C1559" s="92"/>
      <c r="D1559" s="82"/>
      <c r="E1559" s="82"/>
      <c r="F1559" s="96"/>
    </row>
    <row r="1560" spans="1:6" ht="13.5">
      <c r="A1560" s="86"/>
      <c r="B1560" s="91"/>
      <c r="C1560" s="92"/>
      <c r="D1560" s="82"/>
      <c r="E1560" s="82"/>
      <c r="F1560" s="96"/>
    </row>
    <row r="1561" spans="1:6" ht="13.5">
      <c r="A1561" s="86"/>
      <c r="B1561" s="91"/>
      <c r="C1561" s="92"/>
      <c r="D1561" s="82"/>
      <c r="E1561" s="82"/>
      <c r="F1561" s="96"/>
    </row>
    <row r="1562" spans="1:6" ht="13.5">
      <c r="A1562" s="86"/>
      <c r="B1562" s="91"/>
      <c r="C1562" s="92"/>
      <c r="D1562" s="82"/>
      <c r="E1562" s="82"/>
      <c r="F1562" s="96"/>
    </row>
    <row r="1563" spans="1:6" ht="13.5">
      <c r="A1563" s="86"/>
      <c r="B1563" s="91"/>
      <c r="C1563" s="92"/>
      <c r="D1563" s="82"/>
      <c r="E1563" s="82"/>
      <c r="F1563" s="96"/>
    </row>
    <row r="1564" spans="1:6" ht="13.5">
      <c r="A1564" s="86"/>
      <c r="B1564" s="91"/>
      <c r="C1564" s="92"/>
      <c r="D1564" s="82"/>
      <c r="E1564" s="82"/>
      <c r="F1564" s="96"/>
    </row>
    <row r="1565" spans="1:6" ht="13.5">
      <c r="A1565" s="86"/>
      <c r="B1565" s="91"/>
      <c r="C1565" s="92"/>
      <c r="D1565" s="82"/>
      <c r="E1565" s="82"/>
      <c r="F1565" s="96"/>
    </row>
    <row r="1566" spans="1:6" ht="13.5">
      <c r="A1566" s="86"/>
      <c r="B1566" s="91"/>
      <c r="C1566" s="92"/>
      <c r="D1566" s="82"/>
      <c r="E1566" s="82"/>
      <c r="F1566" s="96"/>
    </row>
    <row r="1567" spans="1:6" ht="13.5">
      <c r="A1567" s="86"/>
      <c r="B1567" s="91"/>
      <c r="C1567" s="92"/>
      <c r="D1567" s="82"/>
      <c r="E1567" s="82"/>
      <c r="F1567" s="96"/>
    </row>
    <row r="1568" spans="1:6" ht="13.5">
      <c r="A1568" s="86"/>
      <c r="B1568" s="91"/>
      <c r="C1568" s="92"/>
      <c r="D1568" s="82"/>
      <c r="E1568" s="82"/>
      <c r="F1568" s="96"/>
    </row>
    <row r="1569" spans="1:6" ht="13.5">
      <c r="A1569" s="86"/>
      <c r="B1569" s="91"/>
      <c r="C1569" s="92"/>
      <c r="D1569" s="82"/>
      <c r="E1569" s="82"/>
      <c r="F1569" s="96"/>
    </row>
    <row r="1570" spans="1:6" ht="13.5">
      <c r="A1570" s="86"/>
      <c r="B1570" s="91"/>
      <c r="C1570" s="92"/>
      <c r="D1570" s="82"/>
      <c r="E1570" s="82"/>
      <c r="F1570" s="96"/>
    </row>
    <row r="1571" spans="1:6" ht="13.5">
      <c r="A1571" s="86"/>
      <c r="B1571" s="91"/>
      <c r="C1571" s="92"/>
      <c r="D1571" s="82"/>
      <c r="E1571" s="82"/>
      <c r="F1571" s="96"/>
    </row>
    <row r="1572" spans="1:6" ht="13.5">
      <c r="A1572" s="86"/>
      <c r="B1572" s="91"/>
      <c r="C1572" s="92"/>
      <c r="D1572" s="82"/>
      <c r="E1572" s="82"/>
      <c r="F1572" s="96"/>
    </row>
    <row r="1573" spans="1:6" ht="13.5">
      <c r="A1573" s="86"/>
      <c r="B1573" s="91"/>
      <c r="C1573" s="92"/>
      <c r="D1573" s="82"/>
      <c r="E1573" s="82"/>
      <c r="F1573" s="96"/>
    </row>
    <row r="1574" spans="1:6" ht="13.5">
      <c r="A1574" s="86"/>
      <c r="B1574" s="91"/>
      <c r="C1574" s="92"/>
      <c r="D1574" s="82"/>
      <c r="E1574" s="82"/>
      <c r="F1574" s="96"/>
    </row>
    <row r="1575" spans="1:6" ht="13.5">
      <c r="A1575" s="86"/>
      <c r="B1575" s="91"/>
      <c r="C1575" s="92"/>
      <c r="D1575" s="82"/>
      <c r="E1575" s="82"/>
      <c r="F1575" s="96"/>
    </row>
    <row r="1576" spans="1:6" ht="13.5">
      <c r="A1576" s="86"/>
      <c r="B1576" s="91"/>
      <c r="C1576" s="92"/>
      <c r="D1576" s="82"/>
      <c r="E1576" s="82"/>
      <c r="F1576" s="96"/>
    </row>
    <row r="1577" spans="1:6" ht="13.5">
      <c r="A1577" s="86"/>
      <c r="B1577" s="91"/>
      <c r="C1577" s="92"/>
      <c r="D1577" s="82"/>
      <c r="E1577" s="82"/>
      <c r="F1577" s="96"/>
    </row>
    <row r="1578" spans="1:6" ht="13.5">
      <c r="A1578" s="86"/>
      <c r="B1578" s="91"/>
      <c r="C1578" s="92"/>
      <c r="D1578" s="82"/>
      <c r="E1578" s="82"/>
      <c r="F1578" s="96"/>
    </row>
    <row r="1579" spans="1:6" ht="13.5">
      <c r="A1579" s="86"/>
      <c r="B1579" s="91"/>
      <c r="C1579" s="92"/>
      <c r="D1579" s="82"/>
      <c r="E1579" s="82"/>
      <c r="F1579" s="96"/>
    </row>
    <row r="1580" spans="1:6" ht="13.5">
      <c r="A1580" s="86"/>
      <c r="B1580" s="91"/>
      <c r="C1580" s="92"/>
      <c r="D1580" s="82"/>
      <c r="E1580" s="82"/>
      <c r="F1580" s="96"/>
    </row>
    <row r="1581" spans="1:6" ht="13.5">
      <c r="A1581" s="86"/>
      <c r="B1581" s="91"/>
      <c r="C1581" s="92"/>
      <c r="D1581" s="82"/>
      <c r="E1581" s="82"/>
      <c r="F1581" s="96"/>
    </row>
    <row r="1582" spans="1:6" ht="13.5">
      <c r="A1582" s="86"/>
      <c r="B1582" s="91"/>
      <c r="C1582" s="92"/>
      <c r="D1582" s="82"/>
      <c r="E1582" s="82"/>
      <c r="F1582" s="96"/>
    </row>
    <row r="1583" spans="1:6" ht="13.5">
      <c r="A1583" s="86"/>
      <c r="B1583" s="91"/>
      <c r="C1583" s="92"/>
      <c r="D1583" s="82"/>
      <c r="E1583" s="82"/>
      <c r="F1583" s="96"/>
    </row>
    <row r="1584" spans="1:6" ht="13.5">
      <c r="A1584" s="86"/>
      <c r="B1584" s="91"/>
      <c r="C1584" s="92"/>
      <c r="D1584" s="82"/>
      <c r="E1584" s="82"/>
      <c r="F1584" s="96"/>
    </row>
    <row r="1585" spans="1:6" ht="13.5">
      <c r="A1585" s="86"/>
      <c r="B1585" s="91"/>
      <c r="C1585" s="92"/>
      <c r="D1585" s="82"/>
      <c r="E1585" s="82"/>
      <c r="F1585" s="96"/>
    </row>
    <row r="1586" spans="1:6" ht="13.5">
      <c r="A1586" s="86"/>
      <c r="B1586" s="91"/>
      <c r="C1586" s="92"/>
      <c r="D1586" s="82"/>
      <c r="E1586" s="82"/>
      <c r="F1586" s="96"/>
    </row>
    <row r="1587" spans="1:6" ht="13.5">
      <c r="A1587" s="86"/>
      <c r="B1587" s="91"/>
      <c r="C1587" s="92"/>
      <c r="D1587" s="82"/>
      <c r="E1587" s="82"/>
      <c r="F1587" s="96"/>
    </row>
    <row r="1588" spans="1:6" ht="13.5">
      <c r="A1588" s="86"/>
      <c r="B1588" s="91"/>
      <c r="C1588" s="92"/>
      <c r="D1588" s="82"/>
      <c r="E1588" s="82"/>
      <c r="F1588" s="96"/>
    </row>
    <row r="1589" spans="1:6" ht="13.5">
      <c r="A1589" s="86"/>
      <c r="B1589" s="91"/>
      <c r="C1589" s="92"/>
      <c r="D1589" s="82"/>
      <c r="E1589" s="82"/>
      <c r="F1589" s="96"/>
    </row>
    <row r="1590" spans="1:6" ht="13.5">
      <c r="A1590" s="86"/>
      <c r="B1590" s="91"/>
      <c r="C1590" s="92"/>
      <c r="D1590" s="82"/>
      <c r="E1590" s="82"/>
      <c r="F1590" s="96"/>
    </row>
    <row r="1591" spans="1:6" ht="13.5">
      <c r="A1591" s="86"/>
      <c r="B1591" s="91"/>
      <c r="C1591" s="92"/>
      <c r="D1591" s="82"/>
      <c r="E1591" s="82"/>
      <c r="F1591" s="96"/>
    </row>
    <row r="1592" spans="1:6" ht="13.5">
      <c r="A1592" s="86"/>
      <c r="B1592" s="91"/>
      <c r="C1592" s="92"/>
      <c r="D1592" s="82"/>
      <c r="E1592" s="82"/>
      <c r="F1592" s="96"/>
    </row>
    <row r="1593" spans="1:6" ht="13.5">
      <c r="A1593" s="86"/>
      <c r="B1593" s="91"/>
      <c r="C1593" s="92"/>
      <c r="D1593" s="82"/>
      <c r="E1593" s="82"/>
      <c r="F1593" s="96"/>
    </row>
    <row r="1594" spans="1:6" ht="13.5">
      <c r="A1594" s="86"/>
      <c r="B1594" s="91"/>
      <c r="C1594" s="92"/>
      <c r="D1594" s="82"/>
      <c r="E1594" s="82"/>
      <c r="F1594" s="96"/>
    </row>
    <row r="1595" spans="1:6" ht="13.5">
      <c r="A1595" s="86"/>
      <c r="B1595" s="91"/>
      <c r="C1595" s="92"/>
      <c r="D1595" s="82"/>
      <c r="E1595" s="82"/>
      <c r="F1595" s="96"/>
    </row>
    <row r="1596" spans="1:6" ht="13.5">
      <c r="A1596" s="86"/>
      <c r="B1596" s="91"/>
      <c r="C1596" s="92"/>
      <c r="D1596" s="82"/>
      <c r="E1596" s="82"/>
      <c r="F1596" s="96"/>
    </row>
    <row r="1597" spans="1:6" ht="13.5">
      <c r="A1597" s="86"/>
      <c r="B1597" s="91"/>
      <c r="C1597" s="92"/>
      <c r="D1597" s="82"/>
      <c r="E1597" s="82"/>
      <c r="F1597" s="96"/>
    </row>
    <row r="1598" spans="1:6" ht="13.5">
      <c r="A1598" s="86"/>
      <c r="B1598" s="91"/>
      <c r="C1598" s="92"/>
      <c r="D1598" s="82"/>
      <c r="E1598" s="82"/>
      <c r="F1598" s="96"/>
    </row>
    <row r="1599" spans="1:6" ht="13.5">
      <c r="A1599" s="86"/>
      <c r="B1599" s="91"/>
      <c r="C1599" s="92"/>
      <c r="D1599" s="82"/>
      <c r="E1599" s="82"/>
      <c r="F1599" s="96"/>
    </row>
    <row r="1600" spans="1:6" ht="13.5">
      <c r="A1600" s="86"/>
      <c r="B1600" s="91"/>
      <c r="C1600" s="92"/>
      <c r="D1600" s="82"/>
      <c r="E1600" s="82"/>
      <c r="F1600" s="96"/>
    </row>
    <row r="1601" spans="1:6" ht="13.5">
      <c r="A1601" s="86"/>
      <c r="B1601" s="91"/>
      <c r="C1601" s="92"/>
      <c r="D1601" s="82"/>
      <c r="E1601" s="82"/>
      <c r="F1601" s="96"/>
    </row>
    <row r="1602" spans="1:6" ht="13.5">
      <c r="A1602" s="86"/>
      <c r="B1602" s="91"/>
      <c r="C1602" s="92"/>
      <c r="D1602" s="82"/>
      <c r="E1602" s="82"/>
      <c r="F1602" s="96"/>
    </row>
    <row r="1603" spans="1:6" ht="13.5">
      <c r="A1603" s="86"/>
      <c r="B1603" s="91"/>
      <c r="C1603" s="92"/>
      <c r="D1603" s="82"/>
      <c r="E1603" s="82"/>
      <c r="F1603" s="96"/>
    </row>
    <row r="1604" spans="1:6" ht="13.5">
      <c r="A1604" s="86"/>
      <c r="B1604" s="91"/>
      <c r="C1604" s="92"/>
      <c r="D1604" s="82"/>
      <c r="E1604" s="82"/>
      <c r="F1604" s="96"/>
    </row>
    <row r="1605" spans="1:6" ht="13.5">
      <c r="A1605" s="86"/>
      <c r="B1605" s="91"/>
      <c r="C1605" s="92"/>
      <c r="D1605" s="82"/>
      <c r="E1605" s="82"/>
      <c r="F1605" s="96"/>
    </row>
    <row r="1606" spans="1:6" ht="13.5">
      <c r="A1606" s="86"/>
      <c r="B1606" s="91"/>
      <c r="C1606" s="92"/>
      <c r="D1606" s="82"/>
      <c r="E1606" s="82"/>
      <c r="F1606" s="96"/>
    </row>
    <row r="1607" spans="1:6" ht="13.5">
      <c r="A1607" s="86"/>
      <c r="B1607" s="91"/>
      <c r="C1607" s="92"/>
      <c r="D1607" s="82"/>
      <c r="E1607" s="82"/>
      <c r="F1607" s="96"/>
    </row>
    <row r="1608" spans="1:6" ht="13.5">
      <c r="A1608" s="86"/>
      <c r="B1608" s="91"/>
      <c r="C1608" s="92"/>
      <c r="D1608" s="82"/>
      <c r="E1608" s="82"/>
      <c r="F1608" s="96"/>
    </row>
    <row r="1609" spans="1:6" ht="13.5">
      <c r="A1609" s="86"/>
      <c r="B1609" s="91"/>
      <c r="C1609" s="92"/>
      <c r="D1609" s="82"/>
      <c r="E1609" s="82"/>
      <c r="F1609" s="96"/>
    </row>
    <row r="1610" spans="1:6" ht="13.5">
      <c r="A1610" s="86"/>
      <c r="B1610" s="91"/>
      <c r="C1610" s="92"/>
      <c r="D1610" s="82"/>
      <c r="E1610" s="82"/>
      <c r="F1610" s="96"/>
    </row>
    <row r="1611" spans="1:6" ht="13.5">
      <c r="A1611" s="86"/>
      <c r="B1611" s="91"/>
      <c r="C1611" s="92"/>
      <c r="D1611" s="82"/>
      <c r="E1611" s="82"/>
      <c r="F1611" s="96"/>
    </row>
    <row r="1612" spans="1:6" ht="13.5">
      <c r="A1612" s="86"/>
      <c r="B1612" s="91"/>
      <c r="C1612" s="92"/>
      <c r="D1612" s="82"/>
      <c r="E1612" s="82"/>
      <c r="F1612" s="96"/>
    </row>
    <row r="1613" spans="1:6" ht="13.5">
      <c r="A1613" s="86"/>
      <c r="B1613" s="91"/>
      <c r="C1613" s="92"/>
      <c r="D1613" s="82"/>
      <c r="E1613" s="82"/>
      <c r="F1613" s="96"/>
    </row>
    <row r="1614" spans="1:6" ht="13.5">
      <c r="A1614" s="86"/>
      <c r="B1614" s="91"/>
      <c r="C1614" s="92"/>
      <c r="D1614" s="82"/>
      <c r="E1614" s="82"/>
      <c r="F1614" s="96"/>
    </row>
    <row r="1615" spans="1:6" ht="13.5">
      <c r="A1615" s="86"/>
      <c r="B1615" s="91"/>
      <c r="C1615" s="92"/>
      <c r="D1615" s="82"/>
      <c r="E1615" s="82"/>
      <c r="F1615" s="96"/>
    </row>
    <row r="1616" spans="1:6" ht="13.5">
      <c r="A1616" s="86"/>
      <c r="B1616" s="91"/>
      <c r="C1616" s="92"/>
      <c r="D1616" s="82"/>
      <c r="E1616" s="82"/>
      <c r="F1616" s="96"/>
    </row>
    <row r="1617" spans="1:6" ht="13.5">
      <c r="A1617" s="86"/>
      <c r="B1617" s="91"/>
      <c r="C1617" s="92"/>
      <c r="D1617" s="82"/>
      <c r="E1617" s="82"/>
      <c r="F1617" s="96"/>
    </row>
    <row r="1618" spans="1:6" ht="13.5">
      <c r="A1618" s="86"/>
      <c r="B1618" s="91"/>
      <c r="C1618" s="92"/>
      <c r="D1618" s="82"/>
      <c r="E1618" s="82"/>
      <c r="F1618" s="96"/>
    </row>
    <row r="1619" spans="1:6" ht="13.5">
      <c r="A1619" s="86"/>
      <c r="B1619" s="91"/>
      <c r="C1619" s="92"/>
      <c r="D1619" s="82"/>
      <c r="E1619" s="82"/>
      <c r="F1619" s="96"/>
    </row>
    <row r="1620" spans="1:6" ht="13.5">
      <c r="A1620" s="86"/>
      <c r="B1620" s="91"/>
      <c r="C1620" s="92"/>
      <c r="D1620" s="82"/>
      <c r="E1620" s="82"/>
      <c r="F1620" s="96"/>
    </row>
    <row r="1621" spans="1:6" ht="13.5">
      <c r="A1621" s="86"/>
      <c r="B1621" s="91"/>
      <c r="C1621" s="92"/>
      <c r="D1621" s="82"/>
      <c r="E1621" s="82"/>
      <c r="F1621" s="96"/>
    </row>
    <row r="1622" spans="1:6" ht="13.5">
      <c r="A1622" s="86"/>
      <c r="B1622" s="91"/>
      <c r="C1622" s="92"/>
      <c r="D1622" s="82"/>
      <c r="E1622" s="82"/>
      <c r="F1622" s="96"/>
    </row>
    <row r="1623" spans="1:6" ht="13.5">
      <c r="A1623" s="86"/>
      <c r="B1623" s="91"/>
      <c r="C1623" s="92"/>
      <c r="D1623" s="82"/>
      <c r="E1623" s="82"/>
      <c r="F1623" s="96"/>
    </row>
    <row r="1624" spans="1:6" ht="13.5">
      <c r="A1624" s="86"/>
      <c r="B1624" s="91"/>
      <c r="C1624" s="92"/>
      <c r="D1624" s="82"/>
      <c r="E1624" s="82"/>
      <c r="F1624" s="96"/>
    </row>
    <row r="1625" spans="1:6" ht="13.5">
      <c r="A1625" s="86"/>
      <c r="B1625" s="91"/>
      <c r="C1625" s="92"/>
      <c r="D1625" s="82"/>
      <c r="E1625" s="82"/>
      <c r="F1625" s="96"/>
    </row>
    <row r="1626" spans="1:6" ht="13.5">
      <c r="A1626" s="86"/>
      <c r="B1626" s="91"/>
      <c r="C1626" s="92"/>
      <c r="D1626" s="82"/>
      <c r="E1626" s="82"/>
      <c r="F1626" s="96"/>
    </row>
    <row r="1627" spans="1:6" ht="13.5">
      <c r="A1627" s="86"/>
      <c r="B1627" s="91"/>
      <c r="C1627" s="92"/>
      <c r="D1627" s="82"/>
      <c r="E1627" s="82"/>
      <c r="F1627" s="96"/>
    </row>
    <row r="1628" spans="1:6" ht="13.5">
      <c r="A1628" s="86"/>
      <c r="B1628" s="91"/>
      <c r="C1628" s="92"/>
      <c r="D1628" s="82"/>
      <c r="E1628" s="82"/>
      <c r="F1628" s="96"/>
    </row>
    <row r="1629" spans="1:6" ht="13.5">
      <c r="A1629" s="86"/>
      <c r="B1629" s="91"/>
      <c r="C1629" s="92"/>
      <c r="D1629" s="82"/>
      <c r="E1629" s="82"/>
      <c r="F1629" s="96"/>
    </row>
    <row r="1630" spans="1:6" ht="13.5">
      <c r="A1630" s="86"/>
      <c r="B1630" s="91"/>
      <c r="C1630" s="92"/>
      <c r="D1630" s="82"/>
      <c r="E1630" s="82"/>
      <c r="F1630" s="96"/>
    </row>
    <row r="1631" spans="1:6" ht="13.5">
      <c r="A1631" s="86"/>
      <c r="B1631" s="91"/>
      <c r="C1631" s="92"/>
      <c r="D1631" s="82"/>
      <c r="E1631" s="82"/>
      <c r="F1631" s="96"/>
    </row>
    <row r="1632" spans="1:6" ht="13.5">
      <c r="A1632" s="86"/>
      <c r="B1632" s="91"/>
      <c r="C1632" s="92"/>
      <c r="D1632" s="82"/>
      <c r="E1632" s="82"/>
      <c r="F1632" s="96"/>
    </row>
    <row r="1633" spans="1:6" ht="13.5">
      <c r="A1633" s="86"/>
      <c r="B1633" s="91"/>
      <c r="C1633" s="92"/>
      <c r="D1633" s="82"/>
      <c r="E1633" s="82"/>
      <c r="F1633" s="96"/>
    </row>
    <row r="1634" spans="1:6" ht="13.5">
      <c r="A1634" s="86"/>
      <c r="B1634" s="91"/>
      <c r="C1634" s="92"/>
      <c r="D1634" s="82"/>
      <c r="E1634" s="82"/>
      <c r="F1634" s="96"/>
    </row>
    <row r="1635" spans="1:6" ht="13.5">
      <c r="A1635" s="86"/>
      <c r="B1635" s="91"/>
      <c r="C1635" s="92"/>
      <c r="D1635" s="82"/>
      <c r="E1635" s="82"/>
      <c r="F1635" s="96"/>
    </row>
    <row r="1636" spans="1:6" ht="13.5">
      <c r="A1636" s="86"/>
      <c r="B1636" s="91"/>
      <c r="C1636" s="92"/>
      <c r="D1636" s="82"/>
      <c r="E1636" s="82"/>
      <c r="F1636" s="96"/>
    </row>
    <row r="1637" spans="1:6" ht="13.5">
      <c r="A1637" s="86"/>
      <c r="B1637" s="91"/>
      <c r="C1637" s="92"/>
      <c r="D1637" s="82"/>
      <c r="E1637" s="82"/>
      <c r="F1637" s="96"/>
    </row>
    <row r="1638" spans="1:6" ht="13.5">
      <c r="A1638" s="86"/>
      <c r="B1638" s="91"/>
      <c r="C1638" s="92"/>
      <c r="D1638" s="82"/>
      <c r="E1638" s="82"/>
      <c r="F1638" s="96"/>
    </row>
    <row r="1639" spans="1:6" ht="13.5">
      <c r="A1639" s="86"/>
      <c r="B1639" s="91"/>
      <c r="C1639" s="92"/>
      <c r="D1639" s="82"/>
      <c r="E1639" s="82"/>
      <c r="F1639" s="96"/>
    </row>
    <row r="1640" spans="1:6" ht="13.5">
      <c r="A1640" s="86"/>
      <c r="B1640" s="91"/>
      <c r="C1640" s="92"/>
      <c r="D1640" s="82"/>
      <c r="E1640" s="82"/>
      <c r="F1640" s="96"/>
    </row>
    <row r="1641" spans="1:6" ht="13.5">
      <c r="A1641" s="86"/>
      <c r="B1641" s="91"/>
      <c r="C1641" s="92"/>
      <c r="D1641" s="82"/>
      <c r="E1641" s="82"/>
      <c r="F1641" s="96"/>
    </row>
    <row r="1642" spans="1:6" ht="13.5">
      <c r="A1642" s="86"/>
      <c r="B1642" s="91"/>
      <c r="C1642" s="92"/>
      <c r="D1642" s="82"/>
      <c r="E1642" s="82"/>
      <c r="F1642" s="96"/>
    </row>
    <row r="1643" spans="1:6" ht="13.5">
      <c r="A1643" s="86"/>
      <c r="B1643" s="91"/>
      <c r="C1643" s="92"/>
      <c r="D1643" s="82"/>
      <c r="E1643" s="82"/>
      <c r="F1643" s="96"/>
    </row>
    <row r="1644" spans="1:6" ht="13.5">
      <c r="A1644" s="86"/>
      <c r="B1644" s="91"/>
      <c r="C1644" s="92"/>
      <c r="D1644" s="82"/>
      <c r="E1644" s="82"/>
      <c r="F1644" s="96"/>
    </row>
    <row r="1645" spans="1:6" ht="13.5">
      <c r="A1645" s="86"/>
      <c r="B1645" s="91"/>
      <c r="C1645" s="92"/>
      <c r="D1645" s="82"/>
      <c r="E1645" s="82"/>
      <c r="F1645" s="96"/>
    </row>
    <row r="1646" spans="1:6" ht="13.5">
      <c r="A1646" s="86"/>
      <c r="B1646" s="91"/>
      <c r="C1646" s="92"/>
      <c r="D1646" s="82"/>
      <c r="E1646" s="82"/>
      <c r="F1646" s="96"/>
    </row>
    <row r="1647" spans="1:6" ht="13.5">
      <c r="A1647" s="86"/>
      <c r="B1647" s="91"/>
      <c r="C1647" s="92"/>
      <c r="D1647" s="82"/>
      <c r="E1647" s="82"/>
      <c r="F1647" s="96"/>
    </row>
    <row r="1648" spans="1:6" ht="13.5">
      <c r="A1648" s="86"/>
      <c r="B1648" s="91"/>
      <c r="C1648" s="92"/>
      <c r="D1648" s="82"/>
      <c r="E1648" s="82"/>
      <c r="F1648" s="96"/>
    </row>
    <row r="1649" spans="1:6" ht="13.5">
      <c r="A1649" s="86"/>
      <c r="B1649" s="91"/>
      <c r="C1649" s="92"/>
      <c r="D1649" s="82"/>
      <c r="E1649" s="82"/>
      <c r="F1649" s="96"/>
    </row>
    <row r="1650" spans="1:6" ht="13.5">
      <c r="A1650" s="86"/>
      <c r="B1650" s="91"/>
      <c r="C1650" s="92"/>
      <c r="D1650" s="82"/>
      <c r="E1650" s="82"/>
      <c r="F1650" s="96"/>
    </row>
    <row r="1651" spans="1:6" ht="13.5">
      <c r="A1651" s="86"/>
      <c r="B1651" s="91"/>
      <c r="C1651" s="92"/>
      <c r="D1651" s="82"/>
      <c r="E1651" s="82"/>
      <c r="F1651" s="96"/>
    </row>
    <row r="1652" spans="1:6" ht="13.5">
      <c r="A1652" s="86"/>
      <c r="B1652" s="91"/>
      <c r="C1652" s="92"/>
      <c r="D1652" s="82"/>
      <c r="E1652" s="82"/>
      <c r="F1652" s="96"/>
    </row>
    <row r="1653" spans="1:6" ht="13.5">
      <c r="A1653" s="86"/>
      <c r="B1653" s="91"/>
      <c r="C1653" s="92"/>
      <c r="D1653" s="82"/>
      <c r="E1653" s="82"/>
      <c r="F1653" s="96"/>
    </row>
    <row r="1654" spans="1:6" ht="13.5">
      <c r="A1654" s="86"/>
      <c r="B1654" s="91"/>
      <c r="C1654" s="92"/>
      <c r="D1654" s="82"/>
      <c r="E1654" s="82"/>
      <c r="F1654" s="96"/>
    </row>
    <row r="1655" spans="1:6" ht="13.5">
      <c r="A1655" s="86"/>
      <c r="B1655" s="91"/>
      <c r="C1655" s="92"/>
      <c r="D1655" s="82"/>
      <c r="E1655" s="82"/>
      <c r="F1655" s="96"/>
    </row>
    <row r="1656" spans="1:6" ht="13.5">
      <c r="A1656" s="86"/>
      <c r="B1656" s="91"/>
      <c r="C1656" s="92"/>
      <c r="D1656" s="82"/>
      <c r="E1656" s="82"/>
      <c r="F1656" s="96"/>
    </row>
    <row r="1657" spans="1:6" ht="13.5">
      <c r="A1657" s="86"/>
      <c r="B1657" s="91"/>
      <c r="C1657" s="92"/>
      <c r="D1657" s="82"/>
      <c r="E1657" s="82"/>
      <c r="F1657" s="96"/>
    </row>
    <row r="1658" spans="1:6" ht="13.5">
      <c r="A1658" s="86"/>
      <c r="B1658" s="91"/>
      <c r="C1658" s="92"/>
      <c r="D1658" s="82"/>
      <c r="E1658" s="82"/>
      <c r="F1658" s="96"/>
    </row>
    <row r="1659" spans="1:6" ht="13.5">
      <c r="A1659" s="86"/>
      <c r="B1659" s="91"/>
      <c r="C1659" s="92"/>
      <c r="D1659" s="82"/>
      <c r="E1659" s="82"/>
      <c r="F1659" s="96"/>
    </row>
    <row r="1660" spans="1:6" ht="13.5">
      <c r="A1660" s="86"/>
      <c r="B1660" s="91"/>
      <c r="C1660" s="92"/>
      <c r="D1660" s="82"/>
      <c r="E1660" s="82"/>
      <c r="F1660" s="96"/>
    </row>
    <row r="1661" spans="1:6" ht="13.5">
      <c r="A1661" s="86"/>
      <c r="B1661" s="91"/>
      <c r="C1661" s="92"/>
      <c r="D1661" s="82"/>
      <c r="E1661" s="82"/>
      <c r="F1661" s="96"/>
    </row>
    <row r="1662" spans="1:6" ht="13.5">
      <c r="A1662" s="86"/>
      <c r="B1662" s="91"/>
      <c r="C1662" s="92"/>
      <c r="D1662" s="82"/>
      <c r="E1662" s="82"/>
      <c r="F1662" s="96"/>
    </row>
    <row r="1663" spans="1:6" ht="13.5">
      <c r="A1663" s="86"/>
      <c r="B1663" s="91"/>
      <c r="C1663" s="92"/>
      <c r="D1663" s="82"/>
      <c r="E1663" s="82"/>
      <c r="F1663" s="96"/>
    </row>
    <row r="1664" spans="1:6" ht="13.5">
      <c r="A1664" s="86"/>
      <c r="B1664" s="91"/>
      <c r="C1664" s="92"/>
      <c r="D1664" s="82"/>
      <c r="E1664" s="82"/>
      <c r="F1664" s="96"/>
    </row>
    <row r="1665" spans="1:6" ht="13.5">
      <c r="A1665" s="86"/>
      <c r="B1665" s="91"/>
      <c r="C1665" s="92"/>
      <c r="D1665" s="82"/>
      <c r="E1665" s="82"/>
      <c r="F1665" s="96"/>
    </row>
    <row r="1666" spans="1:6" ht="13.5">
      <c r="A1666" s="86"/>
      <c r="B1666" s="91"/>
      <c r="C1666" s="92"/>
      <c r="D1666" s="82"/>
      <c r="E1666" s="82"/>
      <c r="F1666" s="96"/>
    </row>
    <row r="1667" spans="1:6" ht="13.5">
      <c r="A1667" s="86"/>
      <c r="B1667" s="91"/>
      <c r="C1667" s="92"/>
      <c r="D1667" s="82"/>
      <c r="E1667" s="82"/>
      <c r="F1667" s="96"/>
    </row>
    <row r="1668" spans="1:6" ht="13.5">
      <c r="A1668" s="86"/>
      <c r="B1668" s="91"/>
      <c r="C1668" s="92"/>
      <c r="D1668" s="82"/>
      <c r="E1668" s="82"/>
      <c r="F1668" s="96"/>
    </row>
    <row r="1669" spans="1:6" ht="13.5">
      <c r="A1669" s="86"/>
      <c r="B1669" s="91"/>
      <c r="C1669" s="92"/>
      <c r="D1669" s="82"/>
      <c r="E1669" s="82"/>
      <c r="F1669" s="96"/>
    </row>
    <row r="1670" spans="1:6" ht="13.5">
      <c r="A1670" s="86"/>
      <c r="B1670" s="91"/>
      <c r="C1670" s="92"/>
      <c r="D1670" s="82"/>
      <c r="E1670" s="82"/>
      <c r="F1670" s="96"/>
    </row>
    <row r="1671" spans="1:6" ht="13.5">
      <c r="A1671" s="86"/>
      <c r="B1671" s="91"/>
      <c r="C1671" s="92"/>
      <c r="D1671" s="82"/>
      <c r="E1671" s="82"/>
      <c r="F1671" s="96"/>
    </row>
    <row r="1672" spans="1:6" ht="13.5">
      <c r="A1672" s="86"/>
      <c r="B1672" s="91"/>
      <c r="C1672" s="92"/>
      <c r="D1672" s="82"/>
      <c r="E1672" s="82"/>
      <c r="F1672" s="96"/>
    </row>
    <row r="1673" spans="1:6" ht="13.5">
      <c r="A1673" s="86"/>
      <c r="B1673" s="91"/>
      <c r="C1673" s="92"/>
      <c r="D1673" s="82"/>
      <c r="E1673" s="82"/>
      <c r="F1673" s="96"/>
    </row>
    <row r="1674" spans="1:6" ht="13.5">
      <c r="A1674" s="86"/>
      <c r="B1674" s="91"/>
      <c r="C1674" s="92"/>
      <c r="D1674" s="82"/>
      <c r="E1674" s="82"/>
      <c r="F1674" s="96"/>
    </row>
    <row r="1675" spans="1:6" ht="13.5">
      <c r="A1675" s="86"/>
      <c r="B1675" s="91"/>
      <c r="C1675" s="92"/>
      <c r="D1675" s="82"/>
      <c r="E1675" s="82"/>
      <c r="F1675" s="96"/>
    </row>
    <row r="1676" spans="1:6" ht="13.5">
      <c r="A1676" s="86"/>
      <c r="B1676" s="91"/>
      <c r="C1676" s="92"/>
      <c r="D1676" s="82"/>
      <c r="E1676" s="82"/>
      <c r="F1676" s="96"/>
    </row>
    <row r="1677" spans="1:6" ht="13.5">
      <c r="A1677" s="86"/>
      <c r="B1677" s="91"/>
      <c r="C1677" s="92"/>
      <c r="D1677" s="82"/>
      <c r="E1677" s="82"/>
      <c r="F1677" s="96"/>
    </row>
    <row r="1678" spans="1:6" ht="13.5">
      <c r="A1678" s="86"/>
      <c r="B1678" s="91"/>
      <c r="C1678" s="92"/>
      <c r="D1678" s="82"/>
      <c r="E1678" s="82"/>
      <c r="F1678" s="96"/>
    </row>
    <row r="1679" spans="1:6" ht="13.5">
      <c r="A1679" s="86"/>
      <c r="B1679" s="91"/>
      <c r="C1679" s="92"/>
      <c r="D1679" s="82"/>
      <c r="E1679" s="82"/>
      <c r="F1679" s="96"/>
    </row>
    <row r="1680" spans="1:6" ht="13.5">
      <c r="A1680" s="86"/>
      <c r="B1680" s="91"/>
      <c r="C1680" s="92"/>
      <c r="D1680" s="82"/>
      <c r="E1680" s="82"/>
      <c r="F1680" s="96"/>
    </row>
    <row r="1681" spans="1:6" ht="13.5">
      <c r="A1681" s="86"/>
      <c r="B1681" s="91"/>
      <c r="C1681" s="92"/>
      <c r="D1681" s="82"/>
      <c r="E1681" s="82"/>
      <c r="F1681" s="96"/>
    </row>
    <row r="1682" spans="1:6" ht="13.5">
      <c r="A1682" s="86"/>
      <c r="B1682" s="91"/>
      <c r="C1682" s="92"/>
      <c r="D1682" s="82"/>
      <c r="E1682" s="82"/>
      <c r="F1682" s="96"/>
    </row>
    <row r="1683" spans="1:6" ht="13.5">
      <c r="A1683" s="86"/>
      <c r="B1683" s="91"/>
      <c r="C1683" s="92"/>
      <c r="D1683" s="82"/>
      <c r="E1683" s="82"/>
      <c r="F1683" s="96"/>
    </row>
    <row r="1684" spans="1:6" ht="13.5">
      <c r="A1684" s="86"/>
      <c r="B1684" s="91"/>
      <c r="C1684" s="92"/>
      <c r="D1684" s="82"/>
      <c r="E1684" s="82"/>
      <c r="F1684" s="96"/>
    </row>
    <row r="1685" spans="1:6" ht="13.5">
      <c r="A1685" s="86"/>
      <c r="B1685" s="91"/>
      <c r="C1685" s="92"/>
      <c r="D1685" s="82"/>
      <c r="E1685" s="82"/>
      <c r="F1685" s="96"/>
    </row>
    <row r="1686" spans="1:6" ht="13.5">
      <c r="A1686" s="86"/>
      <c r="B1686" s="91"/>
      <c r="C1686" s="92"/>
      <c r="D1686" s="82"/>
      <c r="E1686" s="82"/>
      <c r="F1686" s="96"/>
    </row>
    <row r="1687" spans="1:6" ht="13.5">
      <c r="A1687" s="86"/>
      <c r="B1687" s="91"/>
      <c r="C1687" s="92"/>
      <c r="D1687" s="82"/>
      <c r="E1687" s="82"/>
      <c r="F1687" s="96"/>
    </row>
    <row r="1688" spans="1:6" ht="13.5">
      <c r="A1688" s="86"/>
      <c r="B1688" s="91"/>
      <c r="C1688" s="92"/>
      <c r="D1688" s="82"/>
      <c r="E1688" s="82"/>
      <c r="F1688" s="96"/>
    </row>
    <row r="1689" spans="1:6" ht="13.5">
      <c r="A1689" s="86"/>
      <c r="B1689" s="91"/>
      <c r="C1689" s="92"/>
      <c r="D1689" s="82"/>
      <c r="E1689" s="82"/>
      <c r="F1689" s="96"/>
    </row>
    <row r="1690" spans="1:6" ht="13.5">
      <c r="A1690" s="86"/>
      <c r="B1690" s="91"/>
      <c r="C1690" s="92"/>
      <c r="D1690" s="82"/>
      <c r="E1690" s="82"/>
      <c r="F1690" s="96"/>
    </row>
    <row r="1691" spans="1:6" ht="13.5">
      <c r="A1691" s="86"/>
      <c r="B1691" s="91"/>
      <c r="C1691" s="92"/>
      <c r="D1691" s="82"/>
      <c r="E1691" s="82"/>
      <c r="F1691" s="96"/>
    </row>
    <row r="1692" spans="1:6" ht="13.5">
      <c r="A1692" s="86"/>
      <c r="B1692" s="91"/>
      <c r="C1692" s="92"/>
      <c r="D1692" s="82"/>
      <c r="E1692" s="82"/>
      <c r="F1692" s="96"/>
    </row>
    <row r="1693" spans="1:6" ht="13.5">
      <c r="A1693" s="86"/>
      <c r="B1693" s="91"/>
      <c r="C1693" s="92"/>
      <c r="D1693" s="82"/>
      <c r="E1693" s="82"/>
      <c r="F1693" s="96"/>
    </row>
    <row r="1694" spans="1:6" ht="13.5">
      <c r="A1694" s="86"/>
      <c r="B1694" s="91"/>
      <c r="C1694" s="92"/>
      <c r="D1694" s="82"/>
      <c r="E1694" s="82"/>
      <c r="F1694" s="96"/>
    </row>
    <row r="1695" spans="1:6" ht="13.5">
      <c r="A1695" s="86"/>
      <c r="B1695" s="91"/>
      <c r="C1695" s="92"/>
      <c r="D1695" s="82"/>
      <c r="E1695" s="82"/>
      <c r="F1695" s="96"/>
    </row>
    <row r="1696" spans="1:6" ht="13.5">
      <c r="A1696" s="86"/>
      <c r="B1696" s="91"/>
      <c r="C1696" s="92"/>
      <c r="D1696" s="82"/>
      <c r="E1696" s="82"/>
      <c r="F1696" s="96"/>
    </row>
    <row r="1697" spans="1:6" ht="13.5">
      <c r="A1697" s="86"/>
      <c r="B1697" s="91"/>
      <c r="C1697" s="92"/>
      <c r="D1697" s="82"/>
      <c r="E1697" s="82"/>
      <c r="F1697" s="96"/>
    </row>
    <row r="1698" spans="1:6" ht="13.5">
      <c r="A1698" s="86"/>
      <c r="B1698" s="91"/>
      <c r="C1698" s="92"/>
      <c r="D1698" s="82"/>
      <c r="E1698" s="82"/>
      <c r="F1698" s="96"/>
    </row>
    <row r="1699" spans="1:6" ht="13.5">
      <c r="A1699" s="86"/>
      <c r="B1699" s="91"/>
      <c r="C1699" s="92"/>
      <c r="D1699" s="82"/>
      <c r="E1699" s="82"/>
      <c r="F1699" s="96"/>
    </row>
    <row r="1700" spans="1:6" ht="13.5">
      <c r="A1700" s="86"/>
      <c r="B1700" s="91"/>
      <c r="C1700" s="92"/>
      <c r="D1700" s="82"/>
      <c r="E1700" s="82"/>
      <c r="F1700" s="96"/>
    </row>
    <row r="1701" spans="1:6" ht="13.5">
      <c r="A1701" s="86"/>
      <c r="B1701" s="91"/>
      <c r="C1701" s="92"/>
      <c r="D1701" s="82"/>
      <c r="E1701" s="82"/>
      <c r="F1701" s="96"/>
    </row>
    <row r="1702" spans="1:6" ht="13.5">
      <c r="A1702" s="86"/>
      <c r="B1702" s="91"/>
      <c r="C1702" s="92"/>
      <c r="D1702" s="82"/>
      <c r="E1702" s="82"/>
      <c r="F1702" s="96"/>
    </row>
    <row r="1703" spans="1:6" ht="13.5">
      <c r="A1703" s="86"/>
      <c r="B1703" s="91"/>
      <c r="C1703" s="92"/>
      <c r="D1703" s="82"/>
      <c r="E1703" s="82"/>
      <c r="F1703" s="96"/>
    </row>
    <row r="1704" spans="1:6" ht="13.5">
      <c r="A1704" s="86"/>
      <c r="B1704" s="91"/>
      <c r="C1704" s="92"/>
      <c r="D1704" s="82"/>
      <c r="E1704" s="82"/>
      <c r="F1704" s="96"/>
    </row>
    <row r="1705" spans="1:6" ht="13.5">
      <c r="A1705" s="86"/>
      <c r="B1705" s="91"/>
      <c r="C1705" s="92"/>
      <c r="D1705" s="82"/>
      <c r="E1705" s="82"/>
      <c r="F1705" s="96"/>
    </row>
    <row r="1706" spans="1:6" ht="13.5">
      <c r="A1706" s="86"/>
      <c r="B1706" s="91"/>
      <c r="C1706" s="92"/>
      <c r="D1706" s="82"/>
      <c r="E1706" s="82"/>
      <c r="F1706" s="96"/>
    </row>
    <row r="1707" spans="1:6" ht="13.5">
      <c r="A1707" s="86"/>
      <c r="B1707" s="91"/>
      <c r="C1707" s="92"/>
      <c r="D1707" s="82"/>
      <c r="E1707" s="82"/>
      <c r="F1707" s="96"/>
    </row>
    <row r="1708" spans="1:6" ht="13.5">
      <c r="A1708" s="86"/>
      <c r="B1708" s="91"/>
      <c r="C1708" s="92"/>
      <c r="D1708" s="82"/>
      <c r="E1708" s="82"/>
      <c r="F1708" s="96"/>
    </row>
    <row r="1709" spans="1:6" ht="13.5">
      <c r="A1709" s="86"/>
      <c r="B1709" s="91"/>
      <c r="C1709" s="92"/>
      <c r="D1709" s="82"/>
      <c r="E1709" s="82"/>
      <c r="F1709" s="96"/>
    </row>
    <row r="1710" spans="1:6" ht="13.5">
      <c r="A1710" s="86"/>
      <c r="B1710" s="91"/>
      <c r="C1710" s="92"/>
      <c r="D1710" s="82"/>
      <c r="E1710" s="82"/>
      <c r="F1710" s="96"/>
    </row>
    <row r="1711" spans="1:6" ht="13.5">
      <c r="A1711" s="86"/>
      <c r="B1711" s="91"/>
      <c r="C1711" s="92"/>
      <c r="D1711" s="82"/>
      <c r="E1711" s="82"/>
      <c r="F1711" s="96"/>
    </row>
    <row r="1712" spans="1:6" ht="13.5">
      <c r="A1712" s="86"/>
      <c r="B1712" s="91"/>
      <c r="C1712" s="92"/>
      <c r="D1712" s="82"/>
      <c r="E1712" s="82"/>
      <c r="F1712" s="96"/>
    </row>
    <row r="1713" spans="1:6" ht="13.5">
      <c r="A1713" s="86"/>
      <c r="B1713" s="91"/>
      <c r="C1713" s="92"/>
      <c r="D1713" s="82"/>
      <c r="E1713" s="82"/>
      <c r="F1713" s="96"/>
    </row>
    <row r="1714" spans="1:6" ht="13.5">
      <c r="A1714" s="86"/>
      <c r="B1714" s="91"/>
      <c r="C1714" s="92"/>
      <c r="D1714" s="82"/>
      <c r="E1714" s="82"/>
      <c r="F1714" s="96"/>
    </row>
    <row r="1715" spans="1:6" ht="13.5">
      <c r="A1715" s="86"/>
      <c r="B1715" s="91"/>
      <c r="C1715" s="92"/>
      <c r="D1715" s="82"/>
      <c r="E1715" s="82"/>
      <c r="F1715" s="96"/>
    </row>
    <row r="1716" spans="1:6" ht="13.5">
      <c r="A1716" s="86"/>
      <c r="B1716" s="91"/>
      <c r="C1716" s="92"/>
      <c r="D1716" s="82"/>
      <c r="E1716" s="82"/>
      <c r="F1716" s="96"/>
    </row>
    <row r="1717" spans="1:6" ht="13.5">
      <c r="A1717" s="86"/>
      <c r="B1717" s="91"/>
      <c r="C1717" s="92"/>
      <c r="D1717" s="82"/>
      <c r="E1717" s="82"/>
      <c r="F1717" s="96"/>
    </row>
    <row r="1718" spans="1:6" ht="13.5">
      <c r="A1718" s="86"/>
      <c r="B1718" s="91"/>
      <c r="C1718" s="92"/>
      <c r="D1718" s="82"/>
      <c r="E1718" s="82"/>
      <c r="F1718" s="96"/>
    </row>
    <row r="1719" spans="1:6" ht="13.5">
      <c r="A1719" s="86"/>
      <c r="B1719" s="91"/>
      <c r="C1719" s="92"/>
      <c r="D1719" s="82"/>
      <c r="E1719" s="82"/>
      <c r="F1719" s="96"/>
    </row>
    <row r="1720" spans="1:6" ht="13.5">
      <c r="A1720" s="86"/>
      <c r="B1720" s="91"/>
      <c r="C1720" s="92"/>
      <c r="D1720" s="82"/>
      <c r="E1720" s="82"/>
      <c r="F1720" s="96"/>
    </row>
    <row r="1721" spans="1:6" ht="13.5">
      <c r="A1721" s="86"/>
      <c r="B1721" s="91"/>
      <c r="C1721" s="92"/>
      <c r="D1721" s="82"/>
      <c r="E1721" s="82"/>
      <c r="F1721" s="96"/>
    </row>
    <row r="1722" spans="1:6" ht="13.5">
      <c r="A1722" s="86"/>
      <c r="B1722" s="91"/>
      <c r="C1722" s="92"/>
      <c r="D1722" s="82"/>
      <c r="E1722" s="82"/>
      <c r="F1722" s="96"/>
    </row>
    <row r="1723" spans="1:6" ht="13.5">
      <c r="A1723" s="86"/>
      <c r="B1723" s="91"/>
      <c r="C1723" s="92"/>
      <c r="D1723" s="82"/>
      <c r="E1723" s="82"/>
      <c r="F1723" s="96"/>
    </row>
    <row r="1724" spans="1:6" ht="13.5">
      <c r="A1724" s="86"/>
      <c r="B1724" s="91"/>
      <c r="C1724" s="92"/>
      <c r="D1724" s="82"/>
      <c r="E1724" s="82"/>
      <c r="F1724" s="96"/>
    </row>
    <row r="1725" spans="1:6" ht="13.5">
      <c r="A1725" s="86"/>
      <c r="B1725" s="91"/>
      <c r="C1725" s="92"/>
      <c r="D1725" s="82"/>
      <c r="E1725" s="82"/>
      <c r="F1725" s="96"/>
    </row>
    <row r="1726" spans="1:6" ht="13.5">
      <c r="A1726" s="86"/>
      <c r="B1726" s="91"/>
      <c r="C1726" s="92"/>
      <c r="D1726" s="82"/>
      <c r="E1726" s="82"/>
      <c r="F1726" s="96"/>
    </row>
    <row r="1727" spans="1:6" ht="13.5">
      <c r="A1727" s="86"/>
      <c r="B1727" s="91"/>
      <c r="C1727" s="92"/>
      <c r="D1727" s="82"/>
      <c r="E1727" s="82"/>
      <c r="F1727" s="96"/>
    </row>
    <row r="1728" spans="1:6" ht="13.5">
      <c r="A1728" s="86"/>
      <c r="B1728" s="91"/>
      <c r="C1728" s="92"/>
      <c r="D1728" s="82"/>
      <c r="E1728" s="82"/>
      <c r="F1728" s="96"/>
    </row>
    <row r="1729" spans="1:6" ht="13.5">
      <c r="A1729" s="86"/>
      <c r="B1729" s="91"/>
      <c r="C1729" s="92"/>
      <c r="D1729" s="82"/>
      <c r="E1729" s="82"/>
      <c r="F1729" s="96"/>
    </row>
    <row r="1730" spans="1:6" ht="13.5">
      <c r="A1730" s="86"/>
      <c r="B1730" s="91"/>
      <c r="C1730" s="92"/>
      <c r="D1730" s="82"/>
      <c r="E1730" s="82"/>
      <c r="F1730" s="96"/>
    </row>
    <row r="1731" spans="1:6" ht="13.5">
      <c r="A1731" s="86"/>
      <c r="B1731" s="91"/>
      <c r="C1731" s="92"/>
      <c r="D1731" s="82"/>
      <c r="E1731" s="82"/>
      <c r="F1731" s="96"/>
    </row>
    <row r="1732" spans="1:6" ht="13.5">
      <c r="A1732" s="86"/>
      <c r="B1732" s="91"/>
      <c r="C1732" s="92"/>
      <c r="D1732" s="82"/>
      <c r="E1732" s="82"/>
      <c r="F1732" s="96"/>
    </row>
    <row r="1733" spans="1:6" ht="13.5">
      <c r="A1733" s="86"/>
      <c r="B1733" s="91"/>
      <c r="C1733" s="92"/>
      <c r="D1733" s="82"/>
      <c r="E1733" s="82"/>
      <c r="F1733" s="96"/>
    </row>
    <row r="1734" spans="1:6" ht="13.5">
      <c r="A1734" s="86"/>
      <c r="B1734" s="91"/>
      <c r="C1734" s="92"/>
      <c r="D1734" s="82"/>
      <c r="E1734" s="82"/>
      <c r="F1734" s="96"/>
    </row>
    <row r="1735" spans="1:6" ht="13.5">
      <c r="A1735" s="86"/>
      <c r="B1735" s="91"/>
      <c r="C1735" s="92"/>
      <c r="D1735" s="82"/>
      <c r="E1735" s="82"/>
      <c r="F1735" s="96"/>
    </row>
    <row r="1736" spans="1:6" ht="13.5">
      <c r="A1736" s="86"/>
      <c r="B1736" s="91"/>
      <c r="C1736" s="92"/>
      <c r="D1736" s="82"/>
      <c r="E1736" s="82"/>
      <c r="F1736" s="96"/>
    </row>
    <row r="1737" spans="1:6" ht="13.5">
      <c r="A1737" s="86"/>
      <c r="B1737" s="91"/>
      <c r="C1737" s="92"/>
      <c r="D1737" s="82"/>
      <c r="E1737" s="82"/>
      <c r="F1737" s="96"/>
    </row>
    <row r="1738" spans="1:6" ht="13.5">
      <c r="A1738" s="86"/>
      <c r="B1738" s="91"/>
      <c r="C1738" s="92"/>
      <c r="D1738" s="82"/>
      <c r="E1738" s="82"/>
      <c r="F1738" s="96"/>
    </row>
    <row r="1739" spans="1:6" ht="13.5">
      <c r="A1739" s="86"/>
      <c r="B1739" s="91"/>
      <c r="C1739" s="92"/>
      <c r="D1739" s="82"/>
      <c r="E1739" s="82"/>
      <c r="F1739" s="96"/>
    </row>
    <row r="1740" spans="1:6" ht="13.5">
      <c r="A1740" s="86"/>
      <c r="B1740" s="91"/>
      <c r="C1740" s="92"/>
      <c r="D1740" s="82"/>
      <c r="E1740" s="82"/>
      <c r="F1740" s="96"/>
    </row>
    <row r="1741" spans="1:6" ht="13.5">
      <c r="A1741" s="86"/>
      <c r="B1741" s="91"/>
      <c r="C1741" s="92"/>
      <c r="D1741" s="82"/>
      <c r="E1741" s="82"/>
      <c r="F1741" s="96"/>
    </row>
    <row r="1742" spans="1:6" ht="13.5">
      <c r="A1742" s="86"/>
      <c r="B1742" s="91"/>
      <c r="C1742" s="92"/>
      <c r="D1742" s="82"/>
      <c r="E1742" s="82"/>
      <c r="F1742" s="96"/>
    </row>
    <row r="1743" spans="1:6" ht="13.5">
      <c r="A1743" s="86"/>
      <c r="B1743" s="91"/>
      <c r="C1743" s="92"/>
      <c r="D1743" s="82"/>
      <c r="E1743" s="82"/>
      <c r="F1743" s="96"/>
    </row>
    <row r="1744" spans="1:6" ht="13.5">
      <c r="A1744" s="86"/>
      <c r="B1744" s="91"/>
      <c r="C1744" s="92"/>
      <c r="D1744" s="82"/>
      <c r="E1744" s="82"/>
      <c r="F1744" s="96"/>
    </row>
    <row r="1745" spans="1:6" ht="13.5">
      <c r="A1745" s="86"/>
      <c r="B1745" s="91"/>
      <c r="C1745" s="92"/>
      <c r="D1745" s="82"/>
      <c r="E1745" s="82"/>
      <c r="F1745" s="96"/>
    </row>
    <row r="1746" spans="1:6" ht="13.5">
      <c r="A1746" s="86"/>
      <c r="B1746" s="91"/>
      <c r="C1746" s="92"/>
      <c r="D1746" s="82"/>
      <c r="E1746" s="82"/>
      <c r="F1746" s="96"/>
    </row>
    <row r="1747" spans="1:6" ht="13.5">
      <c r="A1747" s="86"/>
      <c r="B1747" s="91"/>
      <c r="C1747" s="92"/>
      <c r="D1747" s="82"/>
      <c r="E1747" s="82"/>
      <c r="F1747" s="96"/>
    </row>
    <row r="1748" spans="1:6" ht="13.5">
      <c r="A1748" s="86"/>
      <c r="B1748" s="91"/>
      <c r="C1748" s="92"/>
      <c r="D1748" s="82"/>
      <c r="E1748" s="82"/>
      <c r="F1748" s="96"/>
    </row>
    <row r="1749" spans="1:6" ht="13.5">
      <c r="A1749" s="86"/>
      <c r="B1749" s="91"/>
      <c r="C1749" s="92"/>
      <c r="D1749" s="82"/>
      <c r="E1749" s="82"/>
      <c r="F1749" s="96"/>
    </row>
    <row r="1750" spans="1:6" ht="13.5">
      <c r="A1750" s="86"/>
      <c r="B1750" s="91"/>
      <c r="C1750" s="92"/>
      <c r="D1750" s="82"/>
      <c r="E1750" s="82"/>
      <c r="F1750" s="96"/>
    </row>
    <row r="1751" spans="1:6" ht="13.5">
      <c r="A1751" s="86"/>
      <c r="B1751" s="91"/>
      <c r="C1751" s="92"/>
      <c r="D1751" s="82"/>
      <c r="E1751" s="82"/>
      <c r="F1751" s="96"/>
    </row>
    <row r="1752" spans="1:6" ht="13.5">
      <c r="A1752" s="86"/>
      <c r="B1752" s="91"/>
      <c r="C1752" s="92"/>
      <c r="D1752" s="82"/>
      <c r="E1752" s="82"/>
      <c r="F1752" s="96"/>
    </row>
    <row r="1753" spans="1:6" ht="13.5">
      <c r="A1753" s="86"/>
      <c r="B1753" s="91"/>
      <c r="C1753" s="92"/>
      <c r="D1753" s="82"/>
      <c r="E1753" s="82"/>
      <c r="F1753" s="96"/>
    </row>
    <row r="1754" spans="1:6" ht="13.5">
      <c r="A1754" s="86"/>
      <c r="B1754" s="91"/>
      <c r="C1754" s="92"/>
      <c r="D1754" s="82"/>
      <c r="E1754" s="82"/>
      <c r="F1754" s="96"/>
    </row>
    <row r="1755" spans="1:6" ht="13.5">
      <c r="A1755" s="86"/>
      <c r="B1755" s="91"/>
      <c r="C1755" s="92"/>
      <c r="D1755" s="82"/>
      <c r="E1755" s="82"/>
      <c r="F1755" s="96"/>
    </row>
    <row r="1756" spans="1:6" ht="13.5">
      <c r="A1756" s="86"/>
      <c r="B1756" s="91"/>
      <c r="C1756" s="92"/>
      <c r="D1756" s="82"/>
      <c r="E1756" s="82"/>
      <c r="F1756" s="96"/>
    </row>
    <row r="1757" spans="1:6" ht="13.5">
      <c r="A1757" s="86"/>
      <c r="B1757" s="91"/>
      <c r="C1757" s="92"/>
      <c r="D1757" s="82"/>
      <c r="E1757" s="82"/>
      <c r="F1757" s="96"/>
    </row>
    <row r="1758" spans="1:6" ht="13.5">
      <c r="A1758" s="86"/>
      <c r="B1758" s="91"/>
      <c r="C1758" s="92"/>
      <c r="D1758" s="82"/>
      <c r="E1758" s="82"/>
      <c r="F1758" s="96"/>
    </row>
    <row r="1759" spans="1:6" ht="13.5">
      <c r="A1759" s="86"/>
      <c r="B1759" s="91"/>
      <c r="C1759" s="92"/>
      <c r="D1759" s="82"/>
      <c r="E1759" s="82"/>
      <c r="F1759" s="96"/>
    </row>
    <row r="1760" spans="1:6" ht="13.5">
      <c r="A1760" s="86"/>
      <c r="B1760" s="91"/>
      <c r="C1760" s="92"/>
      <c r="D1760" s="82"/>
      <c r="E1760" s="82"/>
      <c r="F1760" s="96"/>
    </row>
    <row r="1761" spans="1:6" ht="13.5">
      <c r="A1761" s="86"/>
      <c r="B1761" s="91"/>
      <c r="C1761" s="92"/>
      <c r="D1761" s="82"/>
      <c r="E1761" s="82"/>
      <c r="F1761" s="96"/>
    </row>
    <row r="1762" spans="1:6" ht="13.5">
      <c r="A1762" s="86"/>
      <c r="B1762" s="91"/>
      <c r="C1762" s="92"/>
      <c r="D1762" s="82"/>
      <c r="E1762" s="82"/>
      <c r="F1762" s="96"/>
    </row>
    <row r="1763" spans="1:6" ht="13.5">
      <c r="A1763" s="86"/>
      <c r="B1763" s="91"/>
      <c r="C1763" s="92"/>
      <c r="D1763" s="82"/>
      <c r="E1763" s="82"/>
      <c r="F1763" s="96"/>
    </row>
    <row r="1764" spans="1:6" ht="13.5">
      <c r="A1764" s="86"/>
      <c r="B1764" s="91"/>
      <c r="C1764" s="92"/>
      <c r="D1764" s="82"/>
      <c r="E1764" s="82"/>
      <c r="F1764" s="96"/>
    </row>
    <row r="1765" spans="1:6" ht="13.5">
      <c r="A1765" s="86"/>
      <c r="B1765" s="91"/>
      <c r="C1765" s="92"/>
      <c r="D1765" s="82"/>
      <c r="E1765" s="82"/>
      <c r="F1765" s="96"/>
    </row>
    <row r="1766" spans="1:6" ht="13.5">
      <c r="A1766" s="86"/>
      <c r="B1766" s="91"/>
      <c r="C1766" s="92"/>
      <c r="D1766" s="82"/>
      <c r="E1766" s="82"/>
      <c r="F1766" s="96"/>
    </row>
    <row r="1767" spans="1:6" ht="13.5">
      <c r="A1767" s="86"/>
      <c r="B1767" s="91"/>
      <c r="C1767" s="92"/>
      <c r="D1767" s="82"/>
      <c r="E1767" s="82"/>
      <c r="F1767" s="96"/>
    </row>
    <row r="1768" spans="1:6" ht="13.5">
      <c r="A1768" s="86"/>
      <c r="B1768" s="91"/>
      <c r="C1768" s="92"/>
      <c r="D1768" s="82"/>
      <c r="E1768" s="82"/>
      <c r="F1768" s="96"/>
    </row>
    <row r="1769" spans="1:6" ht="13.5">
      <c r="A1769" s="86"/>
      <c r="B1769" s="91"/>
      <c r="C1769" s="92"/>
      <c r="D1769" s="82"/>
      <c r="E1769" s="82"/>
      <c r="F1769" s="96"/>
    </row>
    <row r="1770" spans="1:6" ht="13.5">
      <c r="A1770" s="86"/>
      <c r="B1770" s="91"/>
      <c r="C1770" s="92"/>
      <c r="D1770" s="82"/>
      <c r="E1770" s="82"/>
      <c r="F1770" s="96"/>
    </row>
    <row r="1771" spans="1:6" ht="13.5">
      <c r="A1771" s="86"/>
      <c r="B1771" s="91"/>
      <c r="C1771" s="92"/>
      <c r="D1771" s="82"/>
      <c r="E1771" s="82"/>
      <c r="F1771" s="96"/>
    </row>
    <row r="1772" spans="1:6" ht="13.5">
      <c r="A1772" s="86"/>
      <c r="B1772" s="91"/>
      <c r="C1772" s="92"/>
      <c r="D1772" s="82"/>
      <c r="E1772" s="82"/>
      <c r="F1772" s="96"/>
    </row>
    <row r="1773" spans="1:6" ht="13.5">
      <c r="A1773" s="86"/>
      <c r="B1773" s="91"/>
      <c r="C1773" s="92"/>
      <c r="D1773" s="82"/>
      <c r="E1773" s="82"/>
      <c r="F1773" s="96"/>
    </row>
    <row r="1774" spans="1:6" ht="13.5">
      <c r="A1774" s="86"/>
      <c r="B1774" s="91"/>
      <c r="C1774" s="92"/>
      <c r="D1774" s="82"/>
      <c r="E1774" s="82"/>
      <c r="F1774" s="96"/>
    </row>
    <row r="1775" spans="1:6" ht="13.5">
      <c r="A1775" s="86"/>
      <c r="B1775" s="91"/>
      <c r="C1775" s="92"/>
      <c r="D1775" s="82"/>
      <c r="E1775" s="82"/>
      <c r="F1775" s="96"/>
    </row>
    <row r="1776" spans="1:6" ht="13.5">
      <c r="A1776" s="86"/>
      <c r="B1776" s="91"/>
      <c r="C1776" s="92"/>
      <c r="D1776" s="82"/>
      <c r="E1776" s="82"/>
      <c r="F1776" s="96"/>
    </row>
    <row r="1777" spans="1:6" ht="13.5">
      <c r="A1777" s="86"/>
      <c r="B1777" s="91"/>
      <c r="C1777" s="92"/>
      <c r="D1777" s="82"/>
      <c r="E1777" s="82"/>
      <c r="F1777" s="96"/>
    </row>
    <row r="1778" spans="1:6" ht="13.5">
      <c r="A1778" s="86"/>
      <c r="B1778" s="91"/>
      <c r="C1778" s="92"/>
      <c r="D1778" s="82"/>
      <c r="E1778" s="82"/>
      <c r="F1778" s="96"/>
    </row>
    <row r="1779" spans="1:6" ht="13.5">
      <c r="A1779" s="86"/>
      <c r="B1779" s="91"/>
      <c r="C1779" s="92"/>
      <c r="D1779" s="82"/>
      <c r="E1779" s="82"/>
      <c r="F1779" s="96"/>
    </row>
    <row r="1780" spans="1:6" ht="13.5">
      <c r="A1780" s="86"/>
      <c r="B1780" s="91"/>
      <c r="C1780" s="92"/>
      <c r="D1780" s="82"/>
      <c r="E1780" s="82"/>
      <c r="F1780" s="96"/>
    </row>
    <row r="1781" spans="1:6" ht="13.5">
      <c r="A1781" s="86"/>
      <c r="B1781" s="91"/>
      <c r="C1781" s="92"/>
      <c r="D1781" s="82"/>
      <c r="E1781" s="82"/>
      <c r="F1781" s="96"/>
    </row>
    <row r="1782" spans="1:6" ht="13.5">
      <c r="A1782" s="86"/>
      <c r="B1782" s="91"/>
      <c r="C1782" s="92"/>
      <c r="D1782" s="82"/>
      <c r="E1782" s="82"/>
      <c r="F1782" s="96"/>
    </row>
    <row r="1783" spans="1:6" ht="13.5">
      <c r="A1783" s="86"/>
      <c r="B1783" s="91"/>
      <c r="C1783" s="92"/>
      <c r="D1783" s="82"/>
      <c r="E1783" s="82"/>
      <c r="F1783" s="96"/>
    </row>
    <row r="1784" spans="1:6" ht="13.5">
      <c r="A1784" s="86"/>
      <c r="B1784" s="91"/>
      <c r="C1784" s="92"/>
      <c r="D1784" s="82"/>
      <c r="E1784" s="82"/>
      <c r="F1784" s="96"/>
    </row>
    <row r="1785" spans="1:6" ht="13.5">
      <c r="A1785" s="86"/>
      <c r="B1785" s="91"/>
      <c r="C1785" s="92"/>
      <c r="D1785" s="82"/>
      <c r="E1785" s="82"/>
      <c r="F1785" s="96"/>
    </row>
    <row r="1786" spans="1:6" ht="13.5">
      <c r="A1786" s="86"/>
      <c r="B1786" s="91"/>
      <c r="C1786" s="92"/>
      <c r="D1786" s="82"/>
      <c r="E1786" s="82"/>
      <c r="F1786" s="96"/>
    </row>
    <row r="1787" spans="1:6" ht="13.5">
      <c r="A1787" s="86"/>
      <c r="B1787" s="91"/>
      <c r="C1787" s="92"/>
      <c r="D1787" s="82"/>
      <c r="E1787" s="82"/>
      <c r="F1787" s="96"/>
    </row>
    <row r="1788" spans="1:6" ht="13.5">
      <c r="A1788" s="86"/>
      <c r="B1788" s="91"/>
      <c r="C1788" s="92"/>
      <c r="D1788" s="82"/>
      <c r="E1788" s="82"/>
      <c r="F1788" s="96"/>
    </row>
    <row r="1789" spans="1:6" ht="13.5">
      <c r="A1789" s="86"/>
      <c r="B1789" s="91"/>
      <c r="C1789" s="92"/>
      <c r="D1789" s="82"/>
      <c r="E1789" s="82"/>
      <c r="F1789" s="96"/>
    </row>
    <row r="1790" spans="1:6" ht="13.5">
      <c r="A1790" s="86"/>
      <c r="B1790" s="91"/>
      <c r="C1790" s="92"/>
      <c r="D1790" s="82"/>
      <c r="E1790" s="82"/>
      <c r="F1790" s="96"/>
    </row>
    <row r="1791" spans="1:6" ht="13.5">
      <c r="A1791" s="86"/>
      <c r="B1791" s="91"/>
      <c r="C1791" s="92"/>
      <c r="D1791" s="82"/>
      <c r="E1791" s="82"/>
      <c r="F1791" s="96"/>
    </row>
    <row r="1792" spans="1:6" ht="13.5">
      <c r="A1792" s="86"/>
      <c r="B1792" s="91"/>
      <c r="C1792" s="92"/>
      <c r="D1792" s="82"/>
      <c r="E1792" s="82"/>
      <c r="F1792" s="96"/>
    </row>
    <row r="1793" spans="1:6" ht="13.5">
      <c r="A1793" s="86"/>
      <c r="B1793" s="91"/>
      <c r="C1793" s="92"/>
      <c r="D1793" s="82"/>
      <c r="E1793" s="82"/>
      <c r="F1793" s="96"/>
    </row>
    <row r="1794" spans="1:6" ht="13.5">
      <c r="A1794" s="86"/>
      <c r="B1794" s="91"/>
      <c r="C1794" s="92"/>
      <c r="D1794" s="82"/>
      <c r="E1794" s="82"/>
      <c r="F1794" s="96"/>
    </row>
    <row r="1795" spans="1:6" ht="13.5">
      <c r="A1795" s="86"/>
      <c r="B1795" s="91"/>
      <c r="C1795" s="92"/>
      <c r="D1795" s="82"/>
      <c r="E1795" s="82"/>
      <c r="F1795" s="96"/>
    </row>
    <row r="1796" spans="1:6" ht="13.5">
      <c r="A1796" s="86"/>
      <c r="B1796" s="91"/>
      <c r="C1796" s="92"/>
      <c r="D1796" s="82"/>
      <c r="E1796" s="82"/>
      <c r="F1796" s="96"/>
    </row>
    <row r="1797" spans="1:6" ht="13.5">
      <c r="A1797" s="86"/>
      <c r="B1797" s="91"/>
      <c r="C1797" s="92"/>
      <c r="D1797" s="82"/>
      <c r="E1797" s="82"/>
      <c r="F1797" s="96"/>
    </row>
    <row r="1798" spans="1:6" ht="13.5">
      <c r="A1798" s="86"/>
      <c r="B1798" s="91"/>
      <c r="C1798" s="92"/>
      <c r="D1798" s="82"/>
      <c r="E1798" s="82"/>
      <c r="F1798" s="96"/>
    </row>
    <row r="1799" spans="1:6" ht="13.5">
      <c r="A1799" s="86"/>
      <c r="B1799" s="91"/>
      <c r="C1799" s="92"/>
      <c r="D1799" s="82"/>
      <c r="E1799" s="82"/>
      <c r="F1799" s="96"/>
    </row>
    <row r="1800" spans="1:6" ht="13.5">
      <c r="A1800" s="86"/>
      <c r="B1800" s="91"/>
      <c r="C1800" s="92"/>
      <c r="D1800" s="82"/>
      <c r="E1800" s="82"/>
      <c r="F1800" s="96"/>
    </row>
    <row r="1801" spans="1:6" ht="13.5">
      <c r="A1801" s="86"/>
      <c r="B1801" s="91"/>
      <c r="C1801" s="92"/>
      <c r="D1801" s="82"/>
      <c r="E1801" s="82"/>
      <c r="F1801" s="96"/>
    </row>
    <row r="1802" spans="1:6" ht="13.5">
      <c r="A1802" s="86"/>
      <c r="B1802" s="91"/>
      <c r="C1802" s="92"/>
      <c r="D1802" s="82"/>
      <c r="E1802" s="82"/>
      <c r="F1802" s="96"/>
    </row>
    <row r="1803" spans="1:6" ht="13.5">
      <c r="A1803" s="86"/>
      <c r="B1803" s="91"/>
      <c r="C1803" s="92"/>
      <c r="D1803" s="82"/>
      <c r="E1803" s="82"/>
      <c r="F1803" s="96"/>
    </row>
    <row r="1804" spans="1:6" ht="13.5">
      <c r="A1804" s="86"/>
      <c r="B1804" s="91"/>
      <c r="C1804" s="92"/>
      <c r="D1804" s="82"/>
      <c r="E1804" s="82"/>
      <c r="F1804" s="96"/>
    </row>
    <row r="1805" spans="1:6" ht="13.5">
      <c r="A1805" s="86"/>
      <c r="B1805" s="91"/>
      <c r="C1805" s="92"/>
      <c r="D1805" s="82"/>
      <c r="E1805" s="82"/>
      <c r="F1805" s="96"/>
    </row>
    <row r="1806" spans="1:6" ht="13.5">
      <c r="A1806" s="86"/>
      <c r="B1806" s="91"/>
      <c r="C1806" s="92"/>
      <c r="D1806" s="82"/>
      <c r="E1806" s="82"/>
      <c r="F1806" s="96"/>
    </row>
    <row r="1807" spans="1:6" ht="13.5">
      <c r="A1807" s="86"/>
      <c r="B1807" s="91"/>
      <c r="C1807" s="92"/>
      <c r="D1807" s="82"/>
      <c r="E1807" s="82"/>
      <c r="F1807" s="96"/>
    </row>
    <row r="1808" spans="1:6" ht="13.5">
      <c r="A1808" s="86"/>
      <c r="B1808" s="91"/>
      <c r="C1808" s="92"/>
      <c r="D1808" s="82"/>
      <c r="E1808" s="82"/>
      <c r="F1808" s="96"/>
    </row>
    <row r="1809" spans="1:6" ht="13.5">
      <c r="A1809" s="86"/>
      <c r="B1809" s="91"/>
      <c r="C1809" s="92"/>
      <c r="D1809" s="82"/>
      <c r="E1809" s="82"/>
      <c r="F1809" s="96"/>
    </row>
    <row r="1810" spans="1:6" ht="13.5">
      <c r="A1810" s="86"/>
      <c r="B1810" s="91"/>
      <c r="C1810" s="92"/>
      <c r="D1810" s="82"/>
      <c r="E1810" s="82"/>
      <c r="F1810" s="96"/>
    </row>
    <row r="1811" spans="1:6" ht="13.5">
      <c r="A1811" s="86"/>
      <c r="B1811" s="91"/>
      <c r="C1811" s="92"/>
      <c r="D1811" s="82"/>
      <c r="E1811" s="82"/>
      <c r="F1811" s="96"/>
    </row>
    <row r="1812" spans="1:6" ht="13.5">
      <c r="A1812" s="86"/>
      <c r="B1812" s="91"/>
      <c r="C1812" s="92"/>
      <c r="D1812" s="82"/>
      <c r="E1812" s="82"/>
      <c r="F1812" s="96"/>
    </row>
    <row r="1813" spans="1:6" ht="13.5">
      <c r="A1813" s="86"/>
      <c r="B1813" s="91"/>
      <c r="C1813" s="92"/>
      <c r="D1813" s="82"/>
      <c r="E1813" s="82"/>
      <c r="F1813" s="96"/>
    </row>
    <row r="1814" spans="1:6" ht="13.5">
      <c r="A1814" s="86"/>
      <c r="B1814" s="91"/>
      <c r="C1814" s="92"/>
      <c r="D1814" s="82"/>
      <c r="E1814" s="82"/>
      <c r="F1814" s="96"/>
    </row>
    <row r="1815" spans="1:6" ht="13.5">
      <c r="A1815" s="86"/>
      <c r="B1815" s="91"/>
      <c r="C1815" s="92"/>
      <c r="D1815" s="82"/>
      <c r="E1815" s="82"/>
      <c r="F1815" s="96"/>
    </row>
    <row r="1816" spans="1:6" ht="13.5">
      <c r="A1816" s="86"/>
      <c r="B1816" s="91"/>
      <c r="C1816" s="92"/>
      <c r="D1816" s="82"/>
      <c r="E1816" s="82"/>
      <c r="F1816" s="96"/>
    </row>
    <row r="1817" spans="1:6" ht="13.5">
      <c r="A1817" s="86"/>
      <c r="B1817" s="91"/>
      <c r="C1817" s="92"/>
      <c r="D1817" s="82"/>
      <c r="E1817" s="82"/>
      <c r="F1817" s="96"/>
    </row>
    <row r="1818" spans="1:6" ht="13.5">
      <c r="A1818" s="86"/>
      <c r="B1818" s="91"/>
      <c r="C1818" s="92"/>
      <c r="D1818" s="82"/>
      <c r="E1818" s="82"/>
      <c r="F1818" s="96"/>
    </row>
    <row r="1819" spans="1:6" ht="13.5">
      <c r="A1819" s="86"/>
      <c r="B1819" s="91"/>
      <c r="C1819" s="92"/>
      <c r="D1819" s="82"/>
      <c r="E1819" s="82"/>
      <c r="F1819" s="96"/>
    </row>
    <row r="1820" spans="1:6" ht="13.5">
      <c r="A1820" s="86"/>
      <c r="B1820" s="91"/>
      <c r="C1820" s="92"/>
      <c r="D1820" s="82"/>
      <c r="E1820" s="82"/>
      <c r="F1820" s="96"/>
    </row>
    <row r="1821" spans="1:6" ht="13.5">
      <c r="A1821" s="86"/>
      <c r="B1821" s="91"/>
      <c r="C1821" s="92"/>
      <c r="D1821" s="82"/>
      <c r="E1821" s="82"/>
      <c r="F1821" s="96"/>
    </row>
    <row r="1822" spans="1:6" ht="13.5">
      <c r="A1822" s="86"/>
      <c r="B1822" s="91"/>
      <c r="C1822" s="92"/>
      <c r="D1822" s="82"/>
      <c r="E1822" s="82"/>
      <c r="F1822" s="96"/>
    </row>
    <row r="1823" spans="1:6" ht="13.5">
      <c r="A1823" s="86"/>
      <c r="B1823" s="91"/>
      <c r="C1823" s="92"/>
      <c r="D1823" s="82"/>
      <c r="E1823" s="82"/>
      <c r="F1823" s="96"/>
    </row>
    <row r="1824" spans="1:6" ht="13.5">
      <c r="A1824" s="86"/>
      <c r="B1824" s="91"/>
      <c r="C1824" s="92"/>
      <c r="D1824" s="82"/>
      <c r="E1824" s="82"/>
      <c r="F1824" s="96"/>
    </row>
    <row r="1825" spans="1:6" ht="13.5">
      <c r="A1825" s="86"/>
      <c r="B1825" s="91"/>
      <c r="C1825" s="92"/>
      <c r="D1825" s="82"/>
      <c r="E1825" s="82"/>
      <c r="F1825" s="96"/>
    </row>
    <row r="1826" spans="1:6" ht="13.5">
      <c r="A1826" s="86"/>
      <c r="B1826" s="91"/>
      <c r="C1826" s="92"/>
      <c r="D1826" s="82"/>
      <c r="E1826" s="82"/>
      <c r="F1826" s="96"/>
    </row>
    <row r="1827" spans="1:6" ht="13.5">
      <c r="A1827" s="86"/>
      <c r="B1827" s="91"/>
      <c r="C1827" s="92"/>
      <c r="D1827" s="82"/>
      <c r="E1827" s="82"/>
      <c r="F1827" s="96"/>
    </row>
    <row r="1828" spans="1:6" ht="13.5">
      <c r="A1828" s="86"/>
      <c r="B1828" s="91"/>
      <c r="C1828" s="92"/>
      <c r="D1828" s="82"/>
      <c r="E1828" s="82"/>
      <c r="F1828" s="96"/>
    </row>
    <row r="1829" spans="1:6" ht="13.5">
      <c r="A1829" s="86"/>
      <c r="B1829" s="91"/>
      <c r="C1829" s="92"/>
      <c r="D1829" s="82"/>
      <c r="E1829" s="82"/>
      <c r="F1829" s="96"/>
    </row>
    <row r="1830" spans="1:6" ht="13.5">
      <c r="A1830" s="86"/>
      <c r="B1830" s="91"/>
      <c r="C1830" s="92"/>
      <c r="D1830" s="82"/>
      <c r="E1830" s="82"/>
      <c r="F1830" s="96"/>
    </row>
    <row r="1831" spans="1:6" ht="13.5">
      <c r="A1831" s="86"/>
      <c r="B1831" s="91"/>
      <c r="C1831" s="92"/>
      <c r="D1831" s="82"/>
      <c r="E1831" s="82"/>
      <c r="F1831" s="96"/>
    </row>
    <row r="1832" spans="1:6" ht="13.5">
      <c r="A1832" s="86"/>
      <c r="B1832" s="91"/>
      <c r="C1832" s="92"/>
      <c r="D1832" s="82"/>
      <c r="E1832" s="82"/>
      <c r="F1832" s="96"/>
    </row>
    <row r="1833" spans="1:6" ht="13.5">
      <c r="A1833" s="86"/>
      <c r="B1833" s="91"/>
      <c r="C1833" s="92"/>
      <c r="D1833" s="82"/>
      <c r="E1833" s="82"/>
      <c r="F1833" s="96"/>
    </row>
    <row r="1834" spans="1:6" ht="13.5">
      <c r="A1834" s="86"/>
      <c r="B1834" s="91"/>
      <c r="C1834" s="92"/>
      <c r="D1834" s="82"/>
      <c r="E1834" s="82"/>
      <c r="F1834" s="96"/>
    </row>
    <row r="1835" spans="1:6" ht="13.5">
      <c r="A1835" s="86"/>
      <c r="B1835" s="91"/>
      <c r="C1835" s="92"/>
      <c r="D1835" s="82"/>
      <c r="E1835" s="82"/>
      <c r="F1835" s="96"/>
    </row>
    <row r="1836" spans="1:6" ht="13.5">
      <c r="A1836" s="86"/>
      <c r="B1836" s="91"/>
      <c r="C1836" s="92"/>
      <c r="D1836" s="82"/>
      <c r="E1836" s="82"/>
      <c r="F1836" s="96"/>
    </row>
    <row r="1837" spans="1:6" ht="13.5">
      <c r="A1837" s="86"/>
      <c r="B1837" s="91"/>
      <c r="C1837" s="92"/>
      <c r="D1837" s="82"/>
      <c r="E1837" s="82"/>
      <c r="F1837" s="96"/>
    </row>
    <row r="1838" spans="1:6" ht="13.5">
      <c r="A1838" s="86"/>
      <c r="B1838" s="91"/>
      <c r="C1838" s="92"/>
      <c r="D1838" s="82"/>
      <c r="E1838" s="82"/>
      <c r="F1838" s="96"/>
    </row>
    <row r="1839" spans="1:6" ht="13.5">
      <c r="A1839" s="86"/>
      <c r="B1839" s="91"/>
      <c r="C1839" s="92"/>
      <c r="D1839" s="82"/>
      <c r="E1839" s="82"/>
      <c r="F1839" s="96"/>
    </row>
    <row r="1840" spans="1:6" ht="13.5">
      <c r="A1840" s="86"/>
      <c r="B1840" s="91"/>
      <c r="C1840" s="92"/>
      <c r="D1840" s="82"/>
      <c r="E1840" s="82"/>
      <c r="F1840" s="96"/>
    </row>
    <row r="1841" spans="1:6" ht="13.5">
      <c r="A1841" s="86"/>
      <c r="B1841" s="91"/>
      <c r="C1841" s="92"/>
      <c r="D1841" s="82"/>
      <c r="E1841" s="82"/>
      <c r="F1841" s="96"/>
    </row>
    <row r="1842" spans="1:6" ht="13.5">
      <c r="A1842" s="86"/>
      <c r="B1842" s="91"/>
      <c r="C1842" s="92"/>
      <c r="D1842" s="82"/>
      <c r="E1842" s="82"/>
      <c r="F1842" s="96"/>
    </row>
    <row r="1843" spans="1:6" ht="13.5">
      <c r="A1843" s="86"/>
      <c r="B1843" s="91"/>
      <c r="C1843" s="92"/>
      <c r="D1843" s="82"/>
      <c r="E1843" s="82"/>
      <c r="F1843" s="96"/>
    </row>
    <row r="1844" spans="1:6" ht="13.5">
      <c r="A1844" s="86"/>
      <c r="B1844" s="91"/>
      <c r="C1844" s="92"/>
      <c r="D1844" s="82"/>
      <c r="E1844" s="82"/>
      <c r="F1844" s="96"/>
    </row>
    <row r="1845" spans="1:6" ht="13.5">
      <c r="A1845" s="86"/>
      <c r="B1845" s="91"/>
      <c r="C1845" s="92"/>
      <c r="D1845" s="82"/>
      <c r="E1845" s="82"/>
      <c r="F1845" s="96"/>
    </row>
    <row r="1846" spans="1:6" ht="13.5">
      <c r="A1846" s="86"/>
      <c r="B1846" s="91"/>
      <c r="C1846" s="92"/>
      <c r="D1846" s="82"/>
      <c r="E1846" s="82"/>
      <c r="F1846" s="96"/>
    </row>
    <row r="1847" spans="1:6" ht="13.5">
      <c r="A1847" s="86"/>
      <c r="B1847" s="91"/>
      <c r="C1847" s="92"/>
      <c r="D1847" s="82"/>
      <c r="E1847" s="82"/>
      <c r="F1847" s="96"/>
    </row>
    <row r="1848" spans="1:6" ht="13.5">
      <c r="A1848" s="86"/>
      <c r="B1848" s="91"/>
      <c r="C1848" s="92"/>
      <c r="D1848" s="82"/>
      <c r="E1848" s="82"/>
      <c r="F1848" s="96"/>
    </row>
    <row r="1849" spans="1:6" ht="13.5">
      <c r="A1849" s="86"/>
      <c r="B1849" s="91"/>
      <c r="C1849" s="92"/>
      <c r="D1849" s="82"/>
      <c r="E1849" s="82"/>
      <c r="F1849" s="96"/>
    </row>
    <row r="1850" spans="1:6" ht="13.5">
      <c r="A1850" s="86"/>
      <c r="B1850" s="91"/>
      <c r="C1850" s="92"/>
      <c r="D1850" s="82"/>
      <c r="E1850" s="82"/>
      <c r="F1850" s="96"/>
    </row>
    <row r="1851" spans="1:6" ht="13.5">
      <c r="A1851" s="86"/>
      <c r="B1851" s="91"/>
      <c r="C1851" s="92"/>
      <c r="D1851" s="82"/>
      <c r="E1851" s="82"/>
      <c r="F1851" s="96"/>
    </row>
    <row r="1852" spans="1:6" ht="13.5">
      <c r="A1852" s="86"/>
      <c r="B1852" s="91"/>
      <c r="C1852" s="92"/>
      <c r="D1852" s="82"/>
      <c r="E1852" s="82"/>
      <c r="F1852" s="96"/>
    </row>
    <row r="1853" spans="1:6" ht="13.5">
      <c r="A1853" s="86"/>
      <c r="B1853" s="91"/>
      <c r="C1853" s="92"/>
      <c r="D1853" s="82"/>
      <c r="E1853" s="82"/>
      <c r="F1853" s="96"/>
    </row>
    <row r="1854" spans="1:6" ht="13.5">
      <c r="A1854" s="86"/>
      <c r="B1854" s="91"/>
      <c r="C1854" s="92"/>
      <c r="D1854" s="82"/>
      <c r="E1854" s="82"/>
      <c r="F1854" s="96"/>
    </row>
    <row r="1855" spans="1:6" ht="13.5">
      <c r="A1855" s="86"/>
      <c r="B1855" s="91"/>
      <c r="C1855" s="92"/>
      <c r="D1855" s="82"/>
      <c r="E1855" s="82"/>
      <c r="F1855" s="96"/>
    </row>
    <row r="1856" spans="1:6" ht="13.5">
      <c r="A1856" s="86"/>
      <c r="B1856" s="91"/>
      <c r="C1856" s="92"/>
      <c r="D1856" s="82"/>
      <c r="E1856" s="82"/>
      <c r="F1856" s="96"/>
    </row>
    <row r="1857" spans="1:6" ht="13.5">
      <c r="A1857" s="86"/>
      <c r="B1857" s="91"/>
      <c r="C1857" s="92"/>
      <c r="D1857" s="82"/>
      <c r="E1857" s="82"/>
      <c r="F1857" s="96"/>
    </row>
    <row r="1858" spans="1:6" ht="13.5">
      <c r="A1858" s="86"/>
      <c r="B1858" s="91"/>
      <c r="C1858" s="92"/>
      <c r="D1858" s="82"/>
      <c r="E1858" s="82"/>
      <c r="F1858" s="96"/>
    </row>
    <row r="1859" spans="1:6" ht="13.5">
      <c r="A1859" s="86"/>
      <c r="B1859" s="91"/>
      <c r="C1859" s="92"/>
      <c r="D1859" s="82"/>
      <c r="E1859" s="82"/>
      <c r="F1859" s="96"/>
    </row>
    <row r="1860" spans="1:6" ht="13.5">
      <c r="A1860" s="86"/>
      <c r="B1860" s="91"/>
      <c r="C1860" s="92"/>
      <c r="D1860" s="82"/>
      <c r="E1860" s="82"/>
      <c r="F1860" s="96"/>
    </row>
    <row r="1861" spans="1:6" ht="13.5">
      <c r="A1861" s="86"/>
      <c r="B1861" s="91"/>
      <c r="C1861" s="92"/>
      <c r="D1861" s="82"/>
      <c r="E1861" s="82"/>
      <c r="F1861" s="96"/>
    </row>
    <row r="1862" spans="1:6" ht="13.5">
      <c r="A1862" s="86"/>
      <c r="B1862" s="91"/>
      <c r="C1862" s="92"/>
      <c r="D1862" s="82"/>
      <c r="E1862" s="82"/>
      <c r="F1862" s="96"/>
    </row>
    <row r="1863" spans="1:6" ht="13.5">
      <c r="A1863" s="86"/>
      <c r="B1863" s="91"/>
      <c r="C1863" s="92"/>
      <c r="D1863" s="82"/>
      <c r="E1863" s="82"/>
      <c r="F1863" s="96"/>
    </row>
    <row r="1864" spans="1:6" ht="13.5">
      <c r="A1864" s="86"/>
      <c r="B1864" s="91"/>
      <c r="C1864" s="92"/>
      <c r="D1864" s="82"/>
      <c r="E1864" s="82"/>
      <c r="F1864" s="96"/>
    </row>
    <row r="1865" spans="1:6" ht="13.5">
      <c r="A1865" s="86"/>
      <c r="B1865" s="91"/>
      <c r="C1865" s="92"/>
      <c r="D1865" s="82"/>
      <c r="E1865" s="82"/>
      <c r="F1865" s="96"/>
    </row>
    <row r="1866" spans="1:6" ht="13.5">
      <c r="A1866" s="86"/>
      <c r="B1866" s="91"/>
      <c r="C1866" s="92"/>
      <c r="D1866" s="82"/>
      <c r="E1866" s="82"/>
      <c r="F1866" s="96"/>
    </row>
    <row r="1867" spans="1:6" ht="13.5">
      <c r="A1867" s="86"/>
      <c r="B1867" s="91"/>
      <c r="C1867" s="92"/>
      <c r="D1867" s="82"/>
      <c r="E1867" s="82"/>
      <c r="F1867" s="96"/>
    </row>
    <row r="1868" spans="1:6" ht="13.5">
      <c r="A1868" s="86"/>
      <c r="B1868" s="91"/>
      <c r="C1868" s="92"/>
      <c r="D1868" s="82"/>
      <c r="E1868" s="82"/>
      <c r="F1868" s="96"/>
    </row>
    <row r="1869" spans="1:6" ht="13.5">
      <c r="A1869" s="86"/>
      <c r="B1869" s="91"/>
      <c r="C1869" s="92"/>
      <c r="D1869" s="82"/>
      <c r="E1869" s="82"/>
      <c r="F1869" s="96"/>
    </row>
    <row r="1870" spans="1:6" ht="13.5">
      <c r="A1870" s="86"/>
      <c r="B1870" s="91"/>
      <c r="C1870" s="92"/>
      <c r="D1870" s="82"/>
      <c r="E1870" s="82"/>
      <c r="F1870" s="96"/>
    </row>
    <row r="1871" spans="1:6" ht="13.5">
      <c r="A1871" s="86"/>
      <c r="B1871" s="91"/>
      <c r="C1871" s="92"/>
      <c r="D1871" s="82"/>
      <c r="E1871" s="82"/>
      <c r="F1871" s="96"/>
    </row>
    <row r="1872" spans="1:6" ht="13.5">
      <c r="A1872" s="86"/>
      <c r="B1872" s="91"/>
      <c r="C1872" s="92"/>
      <c r="D1872" s="82"/>
      <c r="E1872" s="82"/>
      <c r="F1872" s="96"/>
    </row>
    <row r="1873" spans="1:6" ht="13.5">
      <c r="A1873" s="86"/>
      <c r="B1873" s="91"/>
      <c r="C1873" s="92"/>
      <c r="D1873" s="82"/>
      <c r="E1873" s="82"/>
      <c r="F1873" s="96"/>
    </row>
    <row r="1874" spans="1:6" ht="13.5">
      <c r="A1874" s="86"/>
      <c r="B1874" s="91"/>
      <c r="C1874" s="92"/>
      <c r="D1874" s="82"/>
      <c r="E1874" s="82"/>
      <c r="F1874" s="96"/>
    </row>
    <row r="1875" spans="1:6" ht="13.5">
      <c r="A1875" s="86"/>
      <c r="B1875" s="91"/>
      <c r="C1875" s="92"/>
      <c r="D1875" s="82"/>
      <c r="E1875" s="82"/>
      <c r="F1875" s="96"/>
    </row>
    <row r="1876" spans="1:6" ht="13.5">
      <c r="A1876" s="86"/>
      <c r="B1876" s="91"/>
      <c r="C1876" s="92"/>
      <c r="D1876" s="82"/>
      <c r="E1876" s="82"/>
      <c r="F1876" s="96"/>
    </row>
    <row r="1877" spans="1:6" ht="13.5">
      <c r="A1877" s="86"/>
      <c r="B1877" s="91"/>
      <c r="C1877" s="92"/>
      <c r="D1877" s="82"/>
      <c r="E1877" s="82"/>
      <c r="F1877" s="96"/>
    </row>
    <row r="1878" spans="1:6" ht="13.5">
      <c r="A1878" s="86"/>
      <c r="B1878" s="91"/>
      <c r="C1878" s="92"/>
      <c r="D1878" s="82"/>
      <c r="E1878" s="82"/>
      <c r="F1878" s="96"/>
    </row>
    <row r="1879" spans="1:6" ht="13.5">
      <c r="A1879" s="86"/>
      <c r="B1879" s="91"/>
      <c r="C1879" s="92"/>
      <c r="D1879" s="82"/>
      <c r="E1879" s="82"/>
      <c r="F1879" s="96"/>
    </row>
  </sheetData>
  <mergeCells count="18">
    <mergeCell ref="A116:F116"/>
    <mergeCell ref="A118:F118"/>
    <mergeCell ref="A3:F3"/>
    <mergeCell ref="A4:F4"/>
    <mergeCell ref="A5:F5"/>
    <mergeCell ref="A7:F7"/>
    <mergeCell ref="A8:F8"/>
    <mergeCell ref="A9:F9"/>
    <mergeCell ref="B6:F6"/>
    <mergeCell ref="A110:F110"/>
    <mergeCell ref="A109:F109"/>
    <mergeCell ref="A108:F108"/>
    <mergeCell ref="A106:F106"/>
    <mergeCell ref="A2:F2"/>
    <mergeCell ref="B1:F1"/>
    <mergeCell ref="A12:F12"/>
    <mergeCell ref="A112:F112"/>
    <mergeCell ref="A114:F1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  <headerFooter>
    <oddHeader>&amp;LBD Hübnerové&amp;ROdhad stavebních nákladů</oddHeader>
    <oddFooter>&amp;CStránka &amp;P z &amp;N</oddFooter>
  </headerFooter>
  <rowBreaks count="2" manualBreakCount="2">
    <brk id="118" max="16383" man="1"/>
    <brk id="11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G1917"/>
  <sheetViews>
    <sheetView view="pageBreakPreview" zoomScaleSheetLayoutView="100" workbookViewId="0" topLeftCell="A1">
      <selection activeCell="A3" sqref="A3"/>
    </sheetView>
  </sheetViews>
  <sheetFormatPr defaultColWidth="9.33203125" defaultRowHeight="13.5"/>
  <cols>
    <col min="1" max="1" width="56.83203125" style="103" customWidth="1"/>
    <col min="2" max="2" width="8" style="104" customWidth="1"/>
    <col min="3" max="3" width="11.16015625" style="105" customWidth="1"/>
    <col min="4" max="4" width="20.66015625" style="106" customWidth="1"/>
    <col min="5" max="5" width="22" style="106" customWidth="1"/>
    <col min="6" max="6" width="10.66015625" style="107" customWidth="1"/>
    <col min="7" max="7" width="2" style="54" customWidth="1"/>
    <col min="8" max="251" width="9.33203125" style="54" customWidth="1"/>
    <col min="252" max="252" width="55.33203125" style="54" customWidth="1"/>
    <col min="253" max="253" width="8" style="54" customWidth="1"/>
    <col min="254" max="254" width="9.83203125" style="54" customWidth="1"/>
    <col min="255" max="255" width="11.33203125" style="54" customWidth="1"/>
    <col min="256" max="256" width="17.66015625" style="54" customWidth="1"/>
    <col min="257" max="257" width="10.66015625" style="54" customWidth="1"/>
    <col min="258" max="507" width="9.33203125" style="54" customWidth="1"/>
    <col min="508" max="508" width="55.33203125" style="54" customWidth="1"/>
    <col min="509" max="509" width="8" style="54" customWidth="1"/>
    <col min="510" max="510" width="9.83203125" style="54" customWidth="1"/>
    <col min="511" max="511" width="11.33203125" style="54" customWidth="1"/>
    <col min="512" max="512" width="17.66015625" style="54" customWidth="1"/>
    <col min="513" max="513" width="10.66015625" style="54" customWidth="1"/>
    <col min="514" max="763" width="9.33203125" style="54" customWidth="1"/>
    <col min="764" max="764" width="55.33203125" style="54" customWidth="1"/>
    <col min="765" max="765" width="8" style="54" customWidth="1"/>
    <col min="766" max="766" width="9.83203125" style="54" customWidth="1"/>
    <col min="767" max="767" width="11.33203125" style="54" customWidth="1"/>
    <col min="768" max="768" width="17.66015625" style="54" customWidth="1"/>
    <col min="769" max="769" width="10.66015625" style="54" customWidth="1"/>
    <col min="770" max="1019" width="9.33203125" style="54" customWidth="1"/>
    <col min="1020" max="1020" width="55.33203125" style="54" customWidth="1"/>
    <col min="1021" max="1021" width="8" style="54" customWidth="1"/>
    <col min="1022" max="1022" width="9.83203125" style="54" customWidth="1"/>
    <col min="1023" max="1023" width="11.33203125" style="54" customWidth="1"/>
    <col min="1024" max="1024" width="17.66015625" style="54" customWidth="1"/>
    <col min="1025" max="1025" width="10.66015625" style="54" customWidth="1"/>
    <col min="1026" max="1275" width="9.33203125" style="54" customWidth="1"/>
    <col min="1276" max="1276" width="55.33203125" style="54" customWidth="1"/>
    <col min="1277" max="1277" width="8" style="54" customWidth="1"/>
    <col min="1278" max="1278" width="9.83203125" style="54" customWidth="1"/>
    <col min="1279" max="1279" width="11.33203125" style="54" customWidth="1"/>
    <col min="1280" max="1280" width="17.66015625" style="54" customWidth="1"/>
    <col min="1281" max="1281" width="10.66015625" style="54" customWidth="1"/>
    <col min="1282" max="1531" width="9.33203125" style="54" customWidth="1"/>
    <col min="1532" max="1532" width="55.33203125" style="54" customWidth="1"/>
    <col min="1533" max="1533" width="8" style="54" customWidth="1"/>
    <col min="1534" max="1534" width="9.83203125" style="54" customWidth="1"/>
    <col min="1535" max="1535" width="11.33203125" style="54" customWidth="1"/>
    <col min="1536" max="1536" width="17.66015625" style="54" customWidth="1"/>
    <col min="1537" max="1537" width="10.66015625" style="54" customWidth="1"/>
    <col min="1538" max="1787" width="9.33203125" style="54" customWidth="1"/>
    <col min="1788" max="1788" width="55.33203125" style="54" customWidth="1"/>
    <col min="1789" max="1789" width="8" style="54" customWidth="1"/>
    <col min="1790" max="1790" width="9.83203125" style="54" customWidth="1"/>
    <col min="1791" max="1791" width="11.33203125" style="54" customWidth="1"/>
    <col min="1792" max="1792" width="17.66015625" style="54" customWidth="1"/>
    <col min="1793" max="1793" width="10.66015625" style="54" customWidth="1"/>
    <col min="1794" max="2043" width="9.33203125" style="54" customWidth="1"/>
    <col min="2044" max="2044" width="55.33203125" style="54" customWidth="1"/>
    <col min="2045" max="2045" width="8" style="54" customWidth="1"/>
    <col min="2046" max="2046" width="9.83203125" style="54" customWidth="1"/>
    <col min="2047" max="2047" width="11.33203125" style="54" customWidth="1"/>
    <col min="2048" max="2048" width="17.66015625" style="54" customWidth="1"/>
    <col min="2049" max="2049" width="10.66015625" style="54" customWidth="1"/>
    <col min="2050" max="2299" width="9.33203125" style="54" customWidth="1"/>
    <col min="2300" max="2300" width="55.33203125" style="54" customWidth="1"/>
    <col min="2301" max="2301" width="8" style="54" customWidth="1"/>
    <col min="2302" max="2302" width="9.83203125" style="54" customWidth="1"/>
    <col min="2303" max="2303" width="11.33203125" style="54" customWidth="1"/>
    <col min="2304" max="2304" width="17.66015625" style="54" customWidth="1"/>
    <col min="2305" max="2305" width="10.66015625" style="54" customWidth="1"/>
    <col min="2306" max="2555" width="9.33203125" style="54" customWidth="1"/>
    <col min="2556" max="2556" width="55.33203125" style="54" customWidth="1"/>
    <col min="2557" max="2557" width="8" style="54" customWidth="1"/>
    <col min="2558" max="2558" width="9.83203125" style="54" customWidth="1"/>
    <col min="2559" max="2559" width="11.33203125" style="54" customWidth="1"/>
    <col min="2560" max="2560" width="17.66015625" style="54" customWidth="1"/>
    <col min="2561" max="2561" width="10.66015625" style="54" customWidth="1"/>
    <col min="2562" max="2811" width="9.33203125" style="54" customWidth="1"/>
    <col min="2812" max="2812" width="55.33203125" style="54" customWidth="1"/>
    <col min="2813" max="2813" width="8" style="54" customWidth="1"/>
    <col min="2814" max="2814" width="9.83203125" style="54" customWidth="1"/>
    <col min="2815" max="2815" width="11.33203125" style="54" customWidth="1"/>
    <col min="2816" max="2816" width="17.66015625" style="54" customWidth="1"/>
    <col min="2817" max="2817" width="10.66015625" style="54" customWidth="1"/>
    <col min="2818" max="3067" width="9.33203125" style="54" customWidth="1"/>
    <col min="3068" max="3068" width="55.33203125" style="54" customWidth="1"/>
    <col min="3069" max="3069" width="8" style="54" customWidth="1"/>
    <col min="3070" max="3070" width="9.83203125" style="54" customWidth="1"/>
    <col min="3071" max="3071" width="11.33203125" style="54" customWidth="1"/>
    <col min="3072" max="3072" width="17.66015625" style="54" customWidth="1"/>
    <col min="3073" max="3073" width="10.66015625" style="54" customWidth="1"/>
    <col min="3074" max="3323" width="9.33203125" style="54" customWidth="1"/>
    <col min="3324" max="3324" width="55.33203125" style="54" customWidth="1"/>
    <col min="3325" max="3325" width="8" style="54" customWidth="1"/>
    <col min="3326" max="3326" width="9.83203125" style="54" customWidth="1"/>
    <col min="3327" max="3327" width="11.33203125" style="54" customWidth="1"/>
    <col min="3328" max="3328" width="17.66015625" style="54" customWidth="1"/>
    <col min="3329" max="3329" width="10.66015625" style="54" customWidth="1"/>
    <col min="3330" max="3579" width="9.33203125" style="54" customWidth="1"/>
    <col min="3580" max="3580" width="55.33203125" style="54" customWidth="1"/>
    <col min="3581" max="3581" width="8" style="54" customWidth="1"/>
    <col min="3582" max="3582" width="9.83203125" style="54" customWidth="1"/>
    <col min="3583" max="3583" width="11.33203125" style="54" customWidth="1"/>
    <col min="3584" max="3584" width="17.66015625" style="54" customWidth="1"/>
    <col min="3585" max="3585" width="10.66015625" style="54" customWidth="1"/>
    <col min="3586" max="3835" width="9.33203125" style="54" customWidth="1"/>
    <col min="3836" max="3836" width="55.33203125" style="54" customWidth="1"/>
    <col min="3837" max="3837" width="8" style="54" customWidth="1"/>
    <col min="3838" max="3838" width="9.83203125" style="54" customWidth="1"/>
    <col min="3839" max="3839" width="11.33203125" style="54" customWidth="1"/>
    <col min="3840" max="3840" width="17.66015625" style="54" customWidth="1"/>
    <col min="3841" max="3841" width="10.66015625" style="54" customWidth="1"/>
    <col min="3842" max="4091" width="9.33203125" style="54" customWidth="1"/>
    <col min="4092" max="4092" width="55.33203125" style="54" customWidth="1"/>
    <col min="4093" max="4093" width="8" style="54" customWidth="1"/>
    <col min="4094" max="4094" width="9.83203125" style="54" customWidth="1"/>
    <col min="4095" max="4095" width="11.33203125" style="54" customWidth="1"/>
    <col min="4096" max="4096" width="17.66015625" style="54" customWidth="1"/>
    <col min="4097" max="4097" width="10.66015625" style="54" customWidth="1"/>
    <col min="4098" max="4347" width="9.33203125" style="54" customWidth="1"/>
    <col min="4348" max="4348" width="55.33203125" style="54" customWidth="1"/>
    <col min="4349" max="4349" width="8" style="54" customWidth="1"/>
    <col min="4350" max="4350" width="9.83203125" style="54" customWidth="1"/>
    <col min="4351" max="4351" width="11.33203125" style="54" customWidth="1"/>
    <col min="4352" max="4352" width="17.66015625" style="54" customWidth="1"/>
    <col min="4353" max="4353" width="10.66015625" style="54" customWidth="1"/>
    <col min="4354" max="4603" width="9.33203125" style="54" customWidth="1"/>
    <col min="4604" max="4604" width="55.33203125" style="54" customWidth="1"/>
    <col min="4605" max="4605" width="8" style="54" customWidth="1"/>
    <col min="4606" max="4606" width="9.83203125" style="54" customWidth="1"/>
    <col min="4607" max="4607" width="11.33203125" style="54" customWidth="1"/>
    <col min="4608" max="4608" width="17.66015625" style="54" customWidth="1"/>
    <col min="4609" max="4609" width="10.66015625" style="54" customWidth="1"/>
    <col min="4610" max="4859" width="9.33203125" style="54" customWidth="1"/>
    <col min="4860" max="4860" width="55.33203125" style="54" customWidth="1"/>
    <col min="4861" max="4861" width="8" style="54" customWidth="1"/>
    <col min="4862" max="4862" width="9.83203125" style="54" customWidth="1"/>
    <col min="4863" max="4863" width="11.33203125" style="54" customWidth="1"/>
    <col min="4864" max="4864" width="17.66015625" style="54" customWidth="1"/>
    <col min="4865" max="4865" width="10.66015625" style="54" customWidth="1"/>
    <col min="4866" max="5115" width="9.33203125" style="54" customWidth="1"/>
    <col min="5116" max="5116" width="55.33203125" style="54" customWidth="1"/>
    <col min="5117" max="5117" width="8" style="54" customWidth="1"/>
    <col min="5118" max="5118" width="9.83203125" style="54" customWidth="1"/>
    <col min="5119" max="5119" width="11.33203125" style="54" customWidth="1"/>
    <col min="5120" max="5120" width="17.66015625" style="54" customWidth="1"/>
    <col min="5121" max="5121" width="10.66015625" style="54" customWidth="1"/>
    <col min="5122" max="5371" width="9.33203125" style="54" customWidth="1"/>
    <col min="5372" max="5372" width="55.33203125" style="54" customWidth="1"/>
    <col min="5373" max="5373" width="8" style="54" customWidth="1"/>
    <col min="5374" max="5374" width="9.83203125" style="54" customWidth="1"/>
    <col min="5375" max="5375" width="11.33203125" style="54" customWidth="1"/>
    <col min="5376" max="5376" width="17.66015625" style="54" customWidth="1"/>
    <col min="5377" max="5377" width="10.66015625" style="54" customWidth="1"/>
    <col min="5378" max="5627" width="9.33203125" style="54" customWidth="1"/>
    <col min="5628" max="5628" width="55.33203125" style="54" customWidth="1"/>
    <col min="5629" max="5629" width="8" style="54" customWidth="1"/>
    <col min="5630" max="5630" width="9.83203125" style="54" customWidth="1"/>
    <col min="5631" max="5631" width="11.33203125" style="54" customWidth="1"/>
    <col min="5632" max="5632" width="17.66015625" style="54" customWidth="1"/>
    <col min="5633" max="5633" width="10.66015625" style="54" customWidth="1"/>
    <col min="5634" max="5883" width="9.33203125" style="54" customWidth="1"/>
    <col min="5884" max="5884" width="55.33203125" style="54" customWidth="1"/>
    <col min="5885" max="5885" width="8" style="54" customWidth="1"/>
    <col min="5886" max="5886" width="9.83203125" style="54" customWidth="1"/>
    <col min="5887" max="5887" width="11.33203125" style="54" customWidth="1"/>
    <col min="5888" max="5888" width="17.66015625" style="54" customWidth="1"/>
    <col min="5889" max="5889" width="10.66015625" style="54" customWidth="1"/>
    <col min="5890" max="6139" width="9.33203125" style="54" customWidth="1"/>
    <col min="6140" max="6140" width="55.33203125" style="54" customWidth="1"/>
    <col min="6141" max="6141" width="8" style="54" customWidth="1"/>
    <col min="6142" max="6142" width="9.83203125" style="54" customWidth="1"/>
    <col min="6143" max="6143" width="11.33203125" style="54" customWidth="1"/>
    <col min="6144" max="6144" width="17.66015625" style="54" customWidth="1"/>
    <col min="6145" max="6145" width="10.66015625" style="54" customWidth="1"/>
    <col min="6146" max="6395" width="9.33203125" style="54" customWidth="1"/>
    <col min="6396" max="6396" width="55.33203125" style="54" customWidth="1"/>
    <col min="6397" max="6397" width="8" style="54" customWidth="1"/>
    <col min="6398" max="6398" width="9.83203125" style="54" customWidth="1"/>
    <col min="6399" max="6399" width="11.33203125" style="54" customWidth="1"/>
    <col min="6400" max="6400" width="17.66015625" style="54" customWidth="1"/>
    <col min="6401" max="6401" width="10.66015625" style="54" customWidth="1"/>
    <col min="6402" max="6651" width="9.33203125" style="54" customWidth="1"/>
    <col min="6652" max="6652" width="55.33203125" style="54" customWidth="1"/>
    <col min="6653" max="6653" width="8" style="54" customWidth="1"/>
    <col min="6654" max="6654" width="9.83203125" style="54" customWidth="1"/>
    <col min="6655" max="6655" width="11.33203125" style="54" customWidth="1"/>
    <col min="6656" max="6656" width="17.66015625" style="54" customWidth="1"/>
    <col min="6657" max="6657" width="10.66015625" style="54" customWidth="1"/>
    <col min="6658" max="6907" width="9.33203125" style="54" customWidth="1"/>
    <col min="6908" max="6908" width="55.33203125" style="54" customWidth="1"/>
    <col min="6909" max="6909" width="8" style="54" customWidth="1"/>
    <col min="6910" max="6910" width="9.83203125" style="54" customWidth="1"/>
    <col min="6911" max="6911" width="11.33203125" style="54" customWidth="1"/>
    <col min="6912" max="6912" width="17.66015625" style="54" customWidth="1"/>
    <col min="6913" max="6913" width="10.66015625" style="54" customWidth="1"/>
    <col min="6914" max="7163" width="9.33203125" style="54" customWidth="1"/>
    <col min="7164" max="7164" width="55.33203125" style="54" customWidth="1"/>
    <col min="7165" max="7165" width="8" style="54" customWidth="1"/>
    <col min="7166" max="7166" width="9.83203125" style="54" customWidth="1"/>
    <col min="7167" max="7167" width="11.33203125" style="54" customWidth="1"/>
    <col min="7168" max="7168" width="17.66015625" style="54" customWidth="1"/>
    <col min="7169" max="7169" width="10.66015625" style="54" customWidth="1"/>
    <col min="7170" max="7419" width="9.33203125" style="54" customWidth="1"/>
    <col min="7420" max="7420" width="55.33203125" style="54" customWidth="1"/>
    <col min="7421" max="7421" width="8" style="54" customWidth="1"/>
    <col min="7422" max="7422" width="9.83203125" style="54" customWidth="1"/>
    <col min="7423" max="7423" width="11.33203125" style="54" customWidth="1"/>
    <col min="7424" max="7424" width="17.66015625" style="54" customWidth="1"/>
    <col min="7425" max="7425" width="10.66015625" style="54" customWidth="1"/>
    <col min="7426" max="7675" width="9.33203125" style="54" customWidth="1"/>
    <col min="7676" max="7676" width="55.33203125" style="54" customWidth="1"/>
    <col min="7677" max="7677" width="8" style="54" customWidth="1"/>
    <col min="7678" max="7678" width="9.83203125" style="54" customWidth="1"/>
    <col min="7679" max="7679" width="11.33203125" style="54" customWidth="1"/>
    <col min="7680" max="7680" width="17.66015625" style="54" customWidth="1"/>
    <col min="7681" max="7681" width="10.66015625" style="54" customWidth="1"/>
    <col min="7682" max="7931" width="9.33203125" style="54" customWidth="1"/>
    <col min="7932" max="7932" width="55.33203125" style="54" customWidth="1"/>
    <col min="7933" max="7933" width="8" style="54" customWidth="1"/>
    <col min="7934" max="7934" width="9.83203125" style="54" customWidth="1"/>
    <col min="7935" max="7935" width="11.33203125" style="54" customWidth="1"/>
    <col min="7936" max="7936" width="17.66015625" style="54" customWidth="1"/>
    <col min="7937" max="7937" width="10.66015625" style="54" customWidth="1"/>
    <col min="7938" max="8187" width="9.33203125" style="54" customWidth="1"/>
    <col min="8188" max="8188" width="55.33203125" style="54" customWidth="1"/>
    <col min="8189" max="8189" width="8" style="54" customWidth="1"/>
    <col min="8190" max="8190" width="9.83203125" style="54" customWidth="1"/>
    <col min="8191" max="8191" width="11.33203125" style="54" customWidth="1"/>
    <col min="8192" max="8192" width="17.66015625" style="54" customWidth="1"/>
    <col min="8193" max="8193" width="10.66015625" style="54" customWidth="1"/>
    <col min="8194" max="8443" width="9.33203125" style="54" customWidth="1"/>
    <col min="8444" max="8444" width="55.33203125" style="54" customWidth="1"/>
    <col min="8445" max="8445" width="8" style="54" customWidth="1"/>
    <col min="8446" max="8446" width="9.83203125" style="54" customWidth="1"/>
    <col min="8447" max="8447" width="11.33203125" style="54" customWidth="1"/>
    <col min="8448" max="8448" width="17.66015625" style="54" customWidth="1"/>
    <col min="8449" max="8449" width="10.66015625" style="54" customWidth="1"/>
    <col min="8450" max="8699" width="9.33203125" style="54" customWidth="1"/>
    <col min="8700" max="8700" width="55.33203125" style="54" customWidth="1"/>
    <col min="8701" max="8701" width="8" style="54" customWidth="1"/>
    <col min="8702" max="8702" width="9.83203125" style="54" customWidth="1"/>
    <col min="8703" max="8703" width="11.33203125" style="54" customWidth="1"/>
    <col min="8704" max="8704" width="17.66015625" style="54" customWidth="1"/>
    <col min="8705" max="8705" width="10.66015625" style="54" customWidth="1"/>
    <col min="8706" max="8955" width="9.33203125" style="54" customWidth="1"/>
    <col min="8956" max="8956" width="55.33203125" style="54" customWidth="1"/>
    <col min="8957" max="8957" width="8" style="54" customWidth="1"/>
    <col min="8958" max="8958" width="9.83203125" style="54" customWidth="1"/>
    <col min="8959" max="8959" width="11.33203125" style="54" customWidth="1"/>
    <col min="8960" max="8960" width="17.66015625" style="54" customWidth="1"/>
    <col min="8961" max="8961" width="10.66015625" style="54" customWidth="1"/>
    <col min="8962" max="9211" width="9.33203125" style="54" customWidth="1"/>
    <col min="9212" max="9212" width="55.33203125" style="54" customWidth="1"/>
    <col min="9213" max="9213" width="8" style="54" customWidth="1"/>
    <col min="9214" max="9214" width="9.83203125" style="54" customWidth="1"/>
    <col min="9215" max="9215" width="11.33203125" style="54" customWidth="1"/>
    <col min="9216" max="9216" width="17.66015625" style="54" customWidth="1"/>
    <col min="9217" max="9217" width="10.66015625" style="54" customWidth="1"/>
    <col min="9218" max="9467" width="9.33203125" style="54" customWidth="1"/>
    <col min="9468" max="9468" width="55.33203125" style="54" customWidth="1"/>
    <col min="9469" max="9469" width="8" style="54" customWidth="1"/>
    <col min="9470" max="9470" width="9.83203125" style="54" customWidth="1"/>
    <col min="9471" max="9471" width="11.33203125" style="54" customWidth="1"/>
    <col min="9472" max="9472" width="17.66015625" style="54" customWidth="1"/>
    <col min="9473" max="9473" width="10.66015625" style="54" customWidth="1"/>
    <col min="9474" max="9723" width="9.33203125" style="54" customWidth="1"/>
    <col min="9724" max="9724" width="55.33203125" style="54" customWidth="1"/>
    <col min="9725" max="9725" width="8" style="54" customWidth="1"/>
    <col min="9726" max="9726" width="9.83203125" style="54" customWidth="1"/>
    <col min="9727" max="9727" width="11.33203125" style="54" customWidth="1"/>
    <col min="9728" max="9728" width="17.66015625" style="54" customWidth="1"/>
    <col min="9729" max="9729" width="10.66015625" style="54" customWidth="1"/>
    <col min="9730" max="9979" width="9.33203125" style="54" customWidth="1"/>
    <col min="9980" max="9980" width="55.33203125" style="54" customWidth="1"/>
    <col min="9981" max="9981" width="8" style="54" customWidth="1"/>
    <col min="9982" max="9982" width="9.83203125" style="54" customWidth="1"/>
    <col min="9983" max="9983" width="11.33203125" style="54" customWidth="1"/>
    <col min="9984" max="9984" width="17.66015625" style="54" customWidth="1"/>
    <col min="9985" max="9985" width="10.66015625" style="54" customWidth="1"/>
    <col min="9986" max="10235" width="9.33203125" style="54" customWidth="1"/>
    <col min="10236" max="10236" width="55.33203125" style="54" customWidth="1"/>
    <col min="10237" max="10237" width="8" style="54" customWidth="1"/>
    <col min="10238" max="10238" width="9.83203125" style="54" customWidth="1"/>
    <col min="10239" max="10239" width="11.33203125" style="54" customWidth="1"/>
    <col min="10240" max="10240" width="17.66015625" style="54" customWidth="1"/>
    <col min="10241" max="10241" width="10.66015625" style="54" customWidth="1"/>
    <col min="10242" max="10491" width="9.33203125" style="54" customWidth="1"/>
    <col min="10492" max="10492" width="55.33203125" style="54" customWidth="1"/>
    <col min="10493" max="10493" width="8" style="54" customWidth="1"/>
    <col min="10494" max="10494" width="9.83203125" style="54" customWidth="1"/>
    <col min="10495" max="10495" width="11.33203125" style="54" customWidth="1"/>
    <col min="10496" max="10496" width="17.66015625" style="54" customWidth="1"/>
    <col min="10497" max="10497" width="10.66015625" style="54" customWidth="1"/>
    <col min="10498" max="10747" width="9.33203125" style="54" customWidth="1"/>
    <col min="10748" max="10748" width="55.33203125" style="54" customWidth="1"/>
    <col min="10749" max="10749" width="8" style="54" customWidth="1"/>
    <col min="10750" max="10750" width="9.83203125" style="54" customWidth="1"/>
    <col min="10751" max="10751" width="11.33203125" style="54" customWidth="1"/>
    <col min="10752" max="10752" width="17.66015625" style="54" customWidth="1"/>
    <col min="10753" max="10753" width="10.66015625" style="54" customWidth="1"/>
    <col min="10754" max="11003" width="9.33203125" style="54" customWidth="1"/>
    <col min="11004" max="11004" width="55.33203125" style="54" customWidth="1"/>
    <col min="11005" max="11005" width="8" style="54" customWidth="1"/>
    <col min="11006" max="11006" width="9.83203125" style="54" customWidth="1"/>
    <col min="11007" max="11007" width="11.33203125" style="54" customWidth="1"/>
    <col min="11008" max="11008" width="17.66015625" style="54" customWidth="1"/>
    <col min="11009" max="11009" width="10.66015625" style="54" customWidth="1"/>
    <col min="11010" max="11259" width="9.33203125" style="54" customWidth="1"/>
    <col min="11260" max="11260" width="55.33203125" style="54" customWidth="1"/>
    <col min="11261" max="11261" width="8" style="54" customWidth="1"/>
    <col min="11262" max="11262" width="9.83203125" style="54" customWidth="1"/>
    <col min="11263" max="11263" width="11.33203125" style="54" customWidth="1"/>
    <col min="11264" max="11264" width="17.66015625" style="54" customWidth="1"/>
    <col min="11265" max="11265" width="10.66015625" style="54" customWidth="1"/>
    <col min="11266" max="11515" width="9.33203125" style="54" customWidth="1"/>
    <col min="11516" max="11516" width="55.33203125" style="54" customWidth="1"/>
    <col min="11517" max="11517" width="8" style="54" customWidth="1"/>
    <col min="11518" max="11518" width="9.83203125" style="54" customWidth="1"/>
    <col min="11519" max="11519" width="11.33203125" style="54" customWidth="1"/>
    <col min="11520" max="11520" width="17.66015625" style="54" customWidth="1"/>
    <col min="11521" max="11521" width="10.66015625" style="54" customWidth="1"/>
    <col min="11522" max="11771" width="9.33203125" style="54" customWidth="1"/>
    <col min="11772" max="11772" width="55.33203125" style="54" customWidth="1"/>
    <col min="11773" max="11773" width="8" style="54" customWidth="1"/>
    <col min="11774" max="11774" width="9.83203125" style="54" customWidth="1"/>
    <col min="11775" max="11775" width="11.33203125" style="54" customWidth="1"/>
    <col min="11776" max="11776" width="17.66015625" style="54" customWidth="1"/>
    <col min="11777" max="11777" width="10.66015625" style="54" customWidth="1"/>
    <col min="11778" max="12027" width="9.33203125" style="54" customWidth="1"/>
    <col min="12028" max="12028" width="55.33203125" style="54" customWidth="1"/>
    <col min="12029" max="12029" width="8" style="54" customWidth="1"/>
    <col min="12030" max="12030" width="9.83203125" style="54" customWidth="1"/>
    <col min="12031" max="12031" width="11.33203125" style="54" customWidth="1"/>
    <col min="12032" max="12032" width="17.66015625" style="54" customWidth="1"/>
    <col min="12033" max="12033" width="10.66015625" style="54" customWidth="1"/>
    <col min="12034" max="12283" width="9.33203125" style="54" customWidth="1"/>
    <col min="12284" max="12284" width="55.33203125" style="54" customWidth="1"/>
    <col min="12285" max="12285" width="8" style="54" customWidth="1"/>
    <col min="12286" max="12286" width="9.83203125" style="54" customWidth="1"/>
    <col min="12287" max="12287" width="11.33203125" style="54" customWidth="1"/>
    <col min="12288" max="12288" width="17.66015625" style="54" customWidth="1"/>
    <col min="12289" max="12289" width="10.66015625" style="54" customWidth="1"/>
    <col min="12290" max="12539" width="9.33203125" style="54" customWidth="1"/>
    <col min="12540" max="12540" width="55.33203125" style="54" customWidth="1"/>
    <col min="12541" max="12541" width="8" style="54" customWidth="1"/>
    <col min="12542" max="12542" width="9.83203125" style="54" customWidth="1"/>
    <col min="12543" max="12543" width="11.33203125" style="54" customWidth="1"/>
    <col min="12544" max="12544" width="17.66015625" style="54" customWidth="1"/>
    <col min="12545" max="12545" width="10.66015625" style="54" customWidth="1"/>
    <col min="12546" max="12795" width="9.33203125" style="54" customWidth="1"/>
    <col min="12796" max="12796" width="55.33203125" style="54" customWidth="1"/>
    <col min="12797" max="12797" width="8" style="54" customWidth="1"/>
    <col min="12798" max="12798" width="9.83203125" style="54" customWidth="1"/>
    <col min="12799" max="12799" width="11.33203125" style="54" customWidth="1"/>
    <col min="12800" max="12800" width="17.66015625" style="54" customWidth="1"/>
    <col min="12801" max="12801" width="10.66015625" style="54" customWidth="1"/>
    <col min="12802" max="13051" width="9.33203125" style="54" customWidth="1"/>
    <col min="13052" max="13052" width="55.33203125" style="54" customWidth="1"/>
    <col min="13053" max="13053" width="8" style="54" customWidth="1"/>
    <col min="13054" max="13054" width="9.83203125" style="54" customWidth="1"/>
    <col min="13055" max="13055" width="11.33203125" style="54" customWidth="1"/>
    <col min="13056" max="13056" width="17.66015625" style="54" customWidth="1"/>
    <col min="13057" max="13057" width="10.66015625" style="54" customWidth="1"/>
    <col min="13058" max="13307" width="9.33203125" style="54" customWidth="1"/>
    <col min="13308" max="13308" width="55.33203125" style="54" customWidth="1"/>
    <col min="13309" max="13309" width="8" style="54" customWidth="1"/>
    <col min="13310" max="13310" width="9.83203125" style="54" customWidth="1"/>
    <col min="13311" max="13311" width="11.33203125" style="54" customWidth="1"/>
    <col min="13312" max="13312" width="17.66015625" style="54" customWidth="1"/>
    <col min="13313" max="13313" width="10.66015625" style="54" customWidth="1"/>
    <col min="13314" max="13563" width="9.33203125" style="54" customWidth="1"/>
    <col min="13564" max="13564" width="55.33203125" style="54" customWidth="1"/>
    <col min="13565" max="13565" width="8" style="54" customWidth="1"/>
    <col min="13566" max="13566" width="9.83203125" style="54" customWidth="1"/>
    <col min="13567" max="13567" width="11.33203125" style="54" customWidth="1"/>
    <col min="13568" max="13568" width="17.66015625" style="54" customWidth="1"/>
    <col min="13569" max="13569" width="10.66015625" style="54" customWidth="1"/>
    <col min="13570" max="13819" width="9.33203125" style="54" customWidth="1"/>
    <col min="13820" max="13820" width="55.33203125" style="54" customWidth="1"/>
    <col min="13821" max="13821" width="8" style="54" customWidth="1"/>
    <col min="13822" max="13822" width="9.83203125" style="54" customWidth="1"/>
    <col min="13823" max="13823" width="11.33203125" style="54" customWidth="1"/>
    <col min="13824" max="13824" width="17.66015625" style="54" customWidth="1"/>
    <col min="13825" max="13825" width="10.66015625" style="54" customWidth="1"/>
    <col min="13826" max="14075" width="9.33203125" style="54" customWidth="1"/>
    <col min="14076" max="14076" width="55.33203125" style="54" customWidth="1"/>
    <col min="14077" max="14077" width="8" style="54" customWidth="1"/>
    <col min="14078" max="14078" width="9.83203125" style="54" customWidth="1"/>
    <col min="14079" max="14079" width="11.33203125" style="54" customWidth="1"/>
    <col min="14080" max="14080" width="17.66015625" style="54" customWidth="1"/>
    <col min="14081" max="14081" width="10.66015625" style="54" customWidth="1"/>
    <col min="14082" max="14331" width="9.33203125" style="54" customWidth="1"/>
    <col min="14332" max="14332" width="55.33203125" style="54" customWidth="1"/>
    <col min="14333" max="14333" width="8" style="54" customWidth="1"/>
    <col min="14334" max="14334" width="9.83203125" style="54" customWidth="1"/>
    <col min="14335" max="14335" width="11.33203125" style="54" customWidth="1"/>
    <col min="14336" max="14336" width="17.66015625" style="54" customWidth="1"/>
    <col min="14337" max="14337" width="10.66015625" style="54" customWidth="1"/>
    <col min="14338" max="14587" width="9.33203125" style="54" customWidth="1"/>
    <col min="14588" max="14588" width="55.33203125" style="54" customWidth="1"/>
    <col min="14589" max="14589" width="8" style="54" customWidth="1"/>
    <col min="14590" max="14590" width="9.83203125" style="54" customWidth="1"/>
    <col min="14591" max="14591" width="11.33203125" style="54" customWidth="1"/>
    <col min="14592" max="14592" width="17.66015625" style="54" customWidth="1"/>
    <col min="14593" max="14593" width="10.66015625" style="54" customWidth="1"/>
    <col min="14594" max="14843" width="9.33203125" style="54" customWidth="1"/>
    <col min="14844" max="14844" width="55.33203125" style="54" customWidth="1"/>
    <col min="14845" max="14845" width="8" style="54" customWidth="1"/>
    <col min="14846" max="14846" width="9.83203125" style="54" customWidth="1"/>
    <col min="14847" max="14847" width="11.33203125" style="54" customWidth="1"/>
    <col min="14848" max="14848" width="17.66015625" style="54" customWidth="1"/>
    <col min="14849" max="14849" width="10.66015625" style="54" customWidth="1"/>
    <col min="14850" max="15099" width="9.33203125" style="54" customWidth="1"/>
    <col min="15100" max="15100" width="55.33203125" style="54" customWidth="1"/>
    <col min="15101" max="15101" width="8" style="54" customWidth="1"/>
    <col min="15102" max="15102" width="9.83203125" style="54" customWidth="1"/>
    <col min="15103" max="15103" width="11.33203125" style="54" customWidth="1"/>
    <col min="15104" max="15104" width="17.66015625" style="54" customWidth="1"/>
    <col min="15105" max="15105" width="10.66015625" style="54" customWidth="1"/>
    <col min="15106" max="15355" width="9.33203125" style="54" customWidth="1"/>
    <col min="15356" max="15356" width="55.33203125" style="54" customWidth="1"/>
    <col min="15357" max="15357" width="8" style="54" customWidth="1"/>
    <col min="15358" max="15358" width="9.83203125" style="54" customWidth="1"/>
    <col min="15359" max="15359" width="11.33203125" style="54" customWidth="1"/>
    <col min="15360" max="15360" width="17.66015625" style="54" customWidth="1"/>
    <col min="15361" max="15361" width="10.66015625" style="54" customWidth="1"/>
    <col min="15362" max="15611" width="9.33203125" style="54" customWidth="1"/>
    <col min="15612" max="15612" width="55.33203125" style="54" customWidth="1"/>
    <col min="15613" max="15613" width="8" style="54" customWidth="1"/>
    <col min="15614" max="15614" width="9.83203125" style="54" customWidth="1"/>
    <col min="15615" max="15615" width="11.33203125" style="54" customWidth="1"/>
    <col min="15616" max="15616" width="17.66015625" style="54" customWidth="1"/>
    <col min="15617" max="15617" width="10.66015625" style="54" customWidth="1"/>
    <col min="15618" max="15867" width="9.33203125" style="54" customWidth="1"/>
    <col min="15868" max="15868" width="55.33203125" style="54" customWidth="1"/>
    <col min="15869" max="15869" width="8" style="54" customWidth="1"/>
    <col min="15870" max="15870" width="9.83203125" style="54" customWidth="1"/>
    <col min="15871" max="15871" width="11.33203125" style="54" customWidth="1"/>
    <col min="15872" max="15872" width="17.66015625" style="54" customWidth="1"/>
    <col min="15873" max="15873" width="10.66015625" style="54" customWidth="1"/>
    <col min="15874" max="16123" width="9.33203125" style="54" customWidth="1"/>
    <col min="16124" max="16124" width="55.33203125" style="54" customWidth="1"/>
    <col min="16125" max="16125" width="8" style="54" customWidth="1"/>
    <col min="16126" max="16126" width="9.83203125" style="54" customWidth="1"/>
    <col min="16127" max="16127" width="11.33203125" style="54" customWidth="1"/>
    <col min="16128" max="16128" width="17.66015625" style="54" customWidth="1"/>
    <col min="16129" max="16129" width="10.66015625" style="54" customWidth="1"/>
    <col min="16130" max="16384" width="9.33203125" style="54" customWidth="1"/>
  </cols>
  <sheetData>
    <row r="1" spans="1:6" s="51" customFormat="1" ht="15.75" customHeight="1">
      <c r="A1" s="75" t="s">
        <v>3</v>
      </c>
      <c r="B1" s="692" t="str">
        <f>Rekapitulace!K4</f>
        <v>Stavební úpravy, vestavba a přístavba stávajícího objektu</v>
      </c>
      <c r="C1" s="692"/>
      <c r="D1" s="692"/>
      <c r="E1" s="692"/>
      <c r="F1" s="693"/>
    </row>
    <row r="2" spans="1:6" ht="12.75" customHeight="1">
      <c r="A2" s="689"/>
      <c r="B2" s="690"/>
      <c r="C2" s="690"/>
      <c r="D2" s="690"/>
      <c r="E2" s="690"/>
      <c r="F2" s="691"/>
    </row>
    <row r="3" spans="1:6" ht="29.25" customHeight="1">
      <c r="A3" s="559" t="s">
        <v>127</v>
      </c>
      <c r="B3" s="560" t="str">
        <f>Rekapitulace!E24</f>
        <v>REV01</v>
      </c>
      <c r="C3" s="561">
        <f>Rekapitulace!H24</f>
        <v>45104</v>
      </c>
      <c r="D3" s="718" t="str">
        <f>Rekapitulace!K24</f>
        <v>Úprava popisů a položek ve vyznačených listech</v>
      </c>
      <c r="E3" s="718"/>
      <c r="F3" s="719"/>
    </row>
    <row r="4" spans="1:6" ht="12.75" customHeight="1">
      <c r="A4" s="715"/>
      <c r="B4" s="716"/>
      <c r="C4" s="716"/>
      <c r="D4" s="716"/>
      <c r="E4" s="716"/>
      <c r="F4" s="717"/>
    </row>
    <row r="5" spans="1:6" s="51" customFormat="1" ht="15.75" thickBot="1">
      <c r="A5" s="703" t="s">
        <v>535</v>
      </c>
      <c r="B5" s="704"/>
      <c r="C5" s="704"/>
      <c r="D5" s="704"/>
      <c r="E5" s="704"/>
      <c r="F5" s="705"/>
    </row>
    <row r="6" spans="1:6" s="51" customFormat="1" ht="16.5" customHeight="1" thickBot="1">
      <c r="A6" s="76" t="s">
        <v>11</v>
      </c>
      <c r="B6" s="711">
        <f>Rekapitulace!K11</f>
        <v>0</v>
      </c>
      <c r="C6" s="711"/>
      <c r="D6" s="711"/>
      <c r="E6" s="711"/>
      <c r="F6" s="712"/>
    </row>
    <row r="7" spans="1:6" s="51" customFormat="1" ht="3.75" customHeight="1">
      <c r="A7" s="706"/>
      <c r="B7" s="706"/>
      <c r="C7" s="706"/>
      <c r="D7" s="706"/>
      <c r="E7" s="706"/>
      <c r="F7" s="706"/>
    </row>
    <row r="8" spans="1:6" s="77" customFormat="1" ht="42.75" customHeight="1">
      <c r="A8" s="707" t="s">
        <v>128</v>
      </c>
      <c r="B8" s="708"/>
      <c r="C8" s="708"/>
      <c r="D8" s="708"/>
      <c r="E8" s="708"/>
      <c r="F8" s="709"/>
    </row>
    <row r="9" spans="1:6" ht="6" customHeight="1">
      <c r="A9" s="710"/>
      <c r="B9" s="710"/>
      <c r="C9" s="710"/>
      <c r="D9" s="710"/>
      <c r="E9" s="710"/>
      <c r="F9" s="710"/>
    </row>
    <row r="10" spans="1:6" s="79" customFormat="1" ht="22.5">
      <c r="A10" s="78" t="s">
        <v>129</v>
      </c>
      <c r="B10" s="78" t="s">
        <v>130</v>
      </c>
      <c r="C10" s="108" t="s">
        <v>131</v>
      </c>
      <c r="D10" s="109" t="s">
        <v>132</v>
      </c>
      <c r="E10" s="110" t="s">
        <v>133</v>
      </c>
      <c r="F10" s="111" t="s">
        <v>134</v>
      </c>
    </row>
    <row r="11" spans="1:6" ht="5.25" customHeight="1" thickBot="1">
      <c r="A11" s="80"/>
      <c r="B11" s="81"/>
      <c r="C11" s="112"/>
      <c r="D11" s="87"/>
      <c r="E11" s="113"/>
      <c r="F11" s="114"/>
    </row>
    <row r="12" spans="1:6" ht="17.45" customHeight="1" thickBot="1">
      <c r="A12" s="694" t="s">
        <v>135</v>
      </c>
      <c r="B12" s="695"/>
      <c r="C12" s="695"/>
      <c r="D12" s="695"/>
      <c r="E12" s="695"/>
      <c r="F12" s="696"/>
    </row>
    <row r="13" spans="1:6" ht="13.5" thickBot="1">
      <c r="A13" s="90" t="s">
        <v>1277</v>
      </c>
      <c r="B13" s="115"/>
      <c r="C13" s="116"/>
      <c r="D13" s="188"/>
      <c r="E13" s="117">
        <f>SUM(E15:E20)</f>
        <v>0</v>
      </c>
      <c r="F13" s="83" t="s">
        <v>136</v>
      </c>
    </row>
    <row r="14" spans="1:6" s="304" customFormat="1" ht="13.5">
      <c r="A14" s="305" t="s">
        <v>1278</v>
      </c>
      <c r="B14" s="306"/>
      <c r="C14" s="307"/>
      <c r="D14" s="308"/>
      <c r="E14" s="309"/>
      <c r="F14" s="303"/>
    </row>
    <row r="15" spans="1:6" ht="22.5">
      <c r="A15" s="222" t="s">
        <v>2353</v>
      </c>
      <c r="B15" s="218" t="s">
        <v>69</v>
      </c>
      <c r="C15" s="219">
        <v>1</v>
      </c>
      <c r="D15" s="223"/>
      <c r="E15" s="221">
        <f>D15*C15</f>
        <v>0</v>
      </c>
      <c r="F15" s="85"/>
    </row>
    <row r="16" spans="1:6" ht="22.5">
      <c r="A16" s="222" t="s">
        <v>2354</v>
      </c>
      <c r="B16" s="218" t="s">
        <v>69</v>
      </c>
      <c r="C16" s="219">
        <v>1</v>
      </c>
      <c r="D16" s="223"/>
      <c r="E16" s="221">
        <f>D16*C16</f>
        <v>0</v>
      </c>
      <c r="F16" s="85"/>
    </row>
    <row r="17" spans="1:6" ht="13.5">
      <c r="A17" s="222" t="s">
        <v>1279</v>
      </c>
      <c r="B17" s="218" t="s">
        <v>69</v>
      </c>
      <c r="C17" s="219">
        <v>2</v>
      </c>
      <c r="D17" s="223"/>
      <c r="E17" s="221">
        <f>D17*C17</f>
        <v>0</v>
      </c>
      <c r="F17" s="85"/>
    </row>
    <row r="18" spans="1:6" ht="22.5">
      <c r="A18" s="222" t="s">
        <v>2355</v>
      </c>
      <c r="B18" s="218" t="s">
        <v>69</v>
      </c>
      <c r="C18" s="219">
        <v>1</v>
      </c>
      <c r="D18" s="223"/>
      <c r="E18" s="221">
        <f>D18*C18</f>
        <v>0</v>
      </c>
      <c r="F18" s="85"/>
    </row>
    <row r="19" spans="1:6" ht="22.5">
      <c r="A19" s="222" t="s">
        <v>2356</v>
      </c>
      <c r="B19" s="218" t="s">
        <v>69</v>
      </c>
      <c r="C19" s="219">
        <v>1</v>
      </c>
      <c r="D19" s="223"/>
      <c r="E19" s="221">
        <f>D19*C19</f>
        <v>0</v>
      </c>
      <c r="F19" s="85"/>
    </row>
    <row r="20" spans="1:6" ht="4.5" customHeight="1" thickBot="1">
      <c r="A20" s="246"/>
      <c r="B20" s="245"/>
      <c r="C20" s="118"/>
      <c r="D20" s="424"/>
      <c r="E20" s="87"/>
      <c r="F20" s="88"/>
    </row>
    <row r="21" spans="1:6" ht="13.5" thickBot="1">
      <c r="A21" s="90" t="s">
        <v>1280</v>
      </c>
      <c r="B21" s="120"/>
      <c r="C21" s="121"/>
      <c r="D21" s="425"/>
      <c r="E21" s="117">
        <f>SUM(E22:E25)</f>
        <v>0</v>
      </c>
      <c r="F21" s="83" t="s">
        <v>136</v>
      </c>
    </row>
    <row r="22" spans="1:6" s="304" customFormat="1" ht="13.5">
      <c r="A22" s="305" t="s">
        <v>1281</v>
      </c>
      <c r="B22" s="306"/>
      <c r="C22" s="307"/>
      <c r="D22" s="308"/>
      <c r="E22" s="309"/>
      <c r="F22" s="303"/>
    </row>
    <row r="23" spans="1:6" ht="13.5">
      <c r="A23" s="222" t="s">
        <v>1282</v>
      </c>
      <c r="B23" s="218" t="s">
        <v>69</v>
      </c>
      <c r="C23" s="219">
        <v>1</v>
      </c>
      <c r="D23" s="223"/>
      <c r="E23" s="221">
        <f>D23*C23</f>
        <v>0</v>
      </c>
      <c r="F23" s="85"/>
    </row>
    <row r="24" spans="1:6" ht="13.5">
      <c r="A24" s="222" t="s">
        <v>1283</v>
      </c>
      <c r="B24" s="218" t="s">
        <v>69</v>
      </c>
      <c r="C24" s="219">
        <v>1</v>
      </c>
      <c r="D24" s="223"/>
      <c r="E24" s="221">
        <f>D24*C24</f>
        <v>0</v>
      </c>
      <c r="F24" s="85"/>
    </row>
    <row r="25" spans="1:6" ht="6" customHeight="1" thickBot="1">
      <c r="A25" s="89"/>
      <c r="B25" s="122"/>
      <c r="C25" s="123"/>
      <c r="D25" s="424"/>
      <c r="E25" s="87"/>
      <c r="F25" s="88"/>
    </row>
    <row r="26" spans="1:6" ht="13.5" thickBot="1">
      <c r="A26" s="90" t="s">
        <v>1284</v>
      </c>
      <c r="B26" s="120"/>
      <c r="C26" s="121"/>
      <c r="D26" s="425"/>
      <c r="E26" s="117">
        <f>SUM(E28:E28)</f>
        <v>0</v>
      </c>
      <c r="F26" s="83" t="s">
        <v>136</v>
      </c>
    </row>
    <row r="27" spans="1:6" s="304" customFormat="1" ht="13.5">
      <c r="A27" s="305" t="s">
        <v>1285</v>
      </c>
      <c r="B27" s="306"/>
      <c r="C27" s="307"/>
      <c r="D27" s="308"/>
      <c r="E27" s="309"/>
      <c r="F27" s="303"/>
    </row>
    <row r="28" spans="1:6" ht="22.5">
      <c r="A28" s="222" t="s">
        <v>2357</v>
      </c>
      <c r="B28" s="218" t="s">
        <v>69</v>
      </c>
      <c r="C28" s="219">
        <v>1</v>
      </c>
      <c r="D28" s="223"/>
      <c r="E28" s="221">
        <f>D28*C28</f>
        <v>0</v>
      </c>
      <c r="F28" s="85"/>
    </row>
    <row r="29" spans="1:6" ht="6" customHeight="1" thickBot="1">
      <c r="A29" s="89"/>
      <c r="B29" s="122"/>
      <c r="C29" s="123"/>
      <c r="D29" s="424"/>
      <c r="E29" s="87"/>
      <c r="F29" s="88"/>
    </row>
    <row r="30" spans="1:6" ht="13.5" thickBot="1">
      <c r="A30" s="90" t="s">
        <v>1286</v>
      </c>
      <c r="B30" s="120"/>
      <c r="C30" s="121"/>
      <c r="D30" s="425"/>
      <c r="E30" s="117">
        <f>SUM(E31:E31)</f>
        <v>0</v>
      </c>
      <c r="F30" s="83" t="s">
        <v>136</v>
      </c>
    </row>
    <row r="31" spans="1:6" ht="13.5">
      <c r="A31" s="222" t="s">
        <v>1287</v>
      </c>
      <c r="B31" s="218" t="s">
        <v>69</v>
      </c>
      <c r="C31" s="219">
        <v>3</v>
      </c>
      <c r="D31" s="223"/>
      <c r="E31" s="221">
        <f>D31*C31</f>
        <v>0</v>
      </c>
      <c r="F31" s="85"/>
    </row>
    <row r="32" spans="1:6" ht="6" customHeight="1" thickBot="1">
      <c r="A32" s="89"/>
      <c r="B32" s="122"/>
      <c r="C32" s="123"/>
      <c r="D32" s="424"/>
      <c r="E32" s="87"/>
      <c r="F32" s="88"/>
    </row>
    <row r="33" spans="1:6" ht="13.5" thickBot="1">
      <c r="A33" s="90" t="s">
        <v>1288</v>
      </c>
      <c r="B33" s="120"/>
      <c r="C33" s="121"/>
      <c r="D33" s="425"/>
      <c r="E33" s="117">
        <f>SUM(E34:E34)</f>
        <v>0</v>
      </c>
      <c r="F33" s="83" t="s">
        <v>136</v>
      </c>
    </row>
    <row r="34" spans="1:6" ht="13.5">
      <c r="A34" s="222" t="s">
        <v>1289</v>
      </c>
      <c r="B34" s="218" t="s">
        <v>69</v>
      </c>
      <c r="C34" s="219">
        <v>1</v>
      </c>
      <c r="D34" s="223"/>
      <c r="E34" s="221">
        <f>D34*C34</f>
        <v>0</v>
      </c>
      <c r="F34" s="85"/>
    </row>
    <row r="35" spans="1:6" ht="6" customHeight="1" thickBot="1">
      <c r="A35" s="89"/>
      <c r="B35" s="122"/>
      <c r="C35" s="123"/>
      <c r="D35" s="424"/>
      <c r="E35" s="87"/>
      <c r="F35" s="88"/>
    </row>
    <row r="36" spans="1:6" ht="13.5" thickBot="1">
      <c r="A36" s="90" t="s">
        <v>1290</v>
      </c>
      <c r="B36" s="120"/>
      <c r="C36" s="121"/>
      <c r="D36" s="425"/>
      <c r="E36" s="117">
        <f>SUM(E37:E57)</f>
        <v>0</v>
      </c>
      <c r="F36" s="83" t="s">
        <v>136</v>
      </c>
    </row>
    <row r="37" spans="1:6" s="304" customFormat="1" ht="13.5">
      <c r="A37" s="305" t="s">
        <v>1291</v>
      </c>
      <c r="B37" s="306"/>
      <c r="C37" s="307"/>
      <c r="D37" s="308"/>
      <c r="E37" s="309"/>
      <c r="F37" s="303"/>
    </row>
    <row r="38" spans="1:6" ht="22.5">
      <c r="A38" s="555" t="s">
        <v>2455</v>
      </c>
      <c r="B38" s="218" t="s">
        <v>69</v>
      </c>
      <c r="C38" s="219">
        <v>8</v>
      </c>
      <c r="D38" s="223"/>
      <c r="E38" s="221">
        <f>D38*C38</f>
        <v>0</v>
      </c>
      <c r="F38" s="85"/>
    </row>
    <row r="39" spans="1:6" ht="22.5">
      <c r="A39" s="555" t="s">
        <v>2456</v>
      </c>
      <c r="B39" s="218" t="s">
        <v>69</v>
      </c>
      <c r="C39" s="219">
        <v>1</v>
      </c>
      <c r="D39" s="223"/>
      <c r="E39" s="221">
        <f>D39*C39</f>
        <v>0</v>
      </c>
      <c r="F39" s="85"/>
    </row>
    <row r="40" spans="1:6" ht="22.5">
      <c r="A40" s="555" t="s">
        <v>2418</v>
      </c>
      <c r="B40" s="218" t="s">
        <v>69</v>
      </c>
      <c r="C40" s="219">
        <v>9</v>
      </c>
      <c r="D40" s="223"/>
      <c r="E40" s="221">
        <f>D40*C40</f>
        <v>0</v>
      </c>
      <c r="F40" s="85"/>
    </row>
    <row r="41" spans="1:6" s="304" customFormat="1" ht="13.5">
      <c r="A41" s="305" t="s">
        <v>1292</v>
      </c>
      <c r="B41" s="306"/>
      <c r="C41" s="307"/>
      <c r="D41" s="308"/>
      <c r="E41" s="309"/>
      <c r="F41" s="303"/>
    </row>
    <row r="42" spans="1:6" ht="13.5">
      <c r="A42" s="222" t="s">
        <v>2264</v>
      </c>
      <c r="B42" s="218" t="s">
        <v>69</v>
      </c>
      <c r="C42" s="219">
        <v>3</v>
      </c>
      <c r="D42" s="223"/>
      <c r="E42" s="221">
        <f>D42*C42</f>
        <v>0</v>
      </c>
      <c r="F42" s="85"/>
    </row>
    <row r="43" spans="1:6" s="304" customFormat="1" ht="13.5">
      <c r="A43" s="305" t="s">
        <v>1293</v>
      </c>
      <c r="B43" s="306"/>
      <c r="C43" s="307"/>
      <c r="D43" s="308"/>
      <c r="E43" s="309"/>
      <c r="F43" s="303"/>
    </row>
    <row r="44" spans="1:6" ht="22.5">
      <c r="A44" s="555" t="s">
        <v>2457</v>
      </c>
      <c r="B44" s="218" t="s">
        <v>69</v>
      </c>
      <c r="C44" s="219">
        <v>7</v>
      </c>
      <c r="D44" s="223"/>
      <c r="E44" s="221">
        <f>D44*C44</f>
        <v>0</v>
      </c>
      <c r="F44" s="85"/>
    </row>
    <row r="45" spans="1:6" ht="22.5">
      <c r="A45" s="555" t="s">
        <v>2458</v>
      </c>
      <c r="B45" s="218" t="s">
        <v>69</v>
      </c>
      <c r="C45" s="219">
        <v>1</v>
      </c>
      <c r="D45" s="223"/>
      <c r="E45" s="221">
        <f>D45*C45</f>
        <v>0</v>
      </c>
      <c r="F45" s="85"/>
    </row>
    <row r="46" spans="1:6" s="304" customFormat="1" ht="13.5">
      <c r="A46" s="305" t="s">
        <v>1294</v>
      </c>
      <c r="B46" s="306"/>
      <c r="C46" s="307"/>
      <c r="D46" s="308"/>
      <c r="E46" s="309"/>
      <c r="F46" s="303"/>
    </row>
    <row r="47" spans="1:6" ht="22.5">
      <c r="A47" s="222" t="s">
        <v>2265</v>
      </c>
      <c r="B47" s="218" t="s">
        <v>69</v>
      </c>
      <c r="C47" s="219">
        <v>1</v>
      </c>
      <c r="D47" s="223"/>
      <c r="E47" s="221">
        <f>D47*C47</f>
        <v>0</v>
      </c>
      <c r="F47" s="85"/>
    </row>
    <row r="48" spans="1:6" ht="13.5">
      <c r="A48" s="222" t="s">
        <v>2266</v>
      </c>
      <c r="B48" s="218" t="s">
        <v>69</v>
      </c>
      <c r="C48" s="219">
        <v>1</v>
      </c>
      <c r="D48" s="223"/>
      <c r="E48" s="221">
        <f>D48*C48</f>
        <v>0</v>
      </c>
      <c r="F48" s="85"/>
    </row>
    <row r="49" spans="1:6" s="304" customFormat="1" ht="13.5">
      <c r="A49" s="305" t="s">
        <v>1274</v>
      </c>
      <c r="B49" s="306"/>
      <c r="C49" s="307"/>
      <c r="D49" s="308"/>
      <c r="E49" s="309"/>
      <c r="F49" s="303"/>
    </row>
    <row r="50" spans="1:6" ht="13.5">
      <c r="A50" s="222" t="s">
        <v>2267</v>
      </c>
      <c r="B50" s="218" t="s">
        <v>69</v>
      </c>
      <c r="C50" s="219">
        <v>2</v>
      </c>
      <c r="D50" s="223"/>
      <c r="E50" s="221">
        <f>D50*C50</f>
        <v>0</v>
      </c>
      <c r="F50" s="85"/>
    </row>
    <row r="51" spans="1:6" ht="13.5">
      <c r="A51" s="222" t="s">
        <v>1295</v>
      </c>
      <c r="B51" s="218" t="s">
        <v>69</v>
      </c>
      <c r="C51" s="219">
        <v>4</v>
      </c>
      <c r="D51" s="223"/>
      <c r="E51" s="221">
        <f>D51*C51</f>
        <v>0</v>
      </c>
      <c r="F51" s="85"/>
    </row>
    <row r="52" spans="1:6" ht="13.5">
      <c r="A52" s="222" t="s">
        <v>1296</v>
      </c>
      <c r="B52" s="218" t="s">
        <v>69</v>
      </c>
      <c r="C52" s="219">
        <v>2</v>
      </c>
      <c r="D52" s="223"/>
      <c r="E52" s="221">
        <f>D52*C52</f>
        <v>0</v>
      </c>
      <c r="F52" s="85"/>
    </row>
    <row r="53" spans="1:6" ht="13.5">
      <c r="A53" s="222" t="s">
        <v>1297</v>
      </c>
      <c r="B53" s="218" t="s">
        <v>69</v>
      </c>
      <c r="C53" s="219">
        <v>4</v>
      </c>
      <c r="D53" s="223"/>
      <c r="E53" s="221">
        <f>D53*C53</f>
        <v>0</v>
      </c>
      <c r="F53" s="85"/>
    </row>
    <row r="54" spans="1:6" s="304" customFormat="1" ht="13.5">
      <c r="A54" s="305" t="s">
        <v>291</v>
      </c>
      <c r="B54" s="306"/>
      <c r="C54" s="307"/>
      <c r="D54" s="308"/>
      <c r="E54" s="309"/>
      <c r="F54" s="303"/>
    </row>
    <row r="55" spans="1:6" ht="13.5">
      <c r="A55" s="222" t="s">
        <v>293</v>
      </c>
      <c r="B55" s="218" t="s">
        <v>69</v>
      </c>
      <c r="C55" s="219">
        <v>2</v>
      </c>
      <c r="D55" s="223"/>
      <c r="E55" s="221">
        <f>D55*C55</f>
        <v>0</v>
      </c>
      <c r="F55" s="85"/>
    </row>
    <row r="56" spans="1:6" s="304" customFormat="1" ht="13.5">
      <c r="A56" s="305" t="s">
        <v>1275</v>
      </c>
      <c r="B56" s="306"/>
      <c r="C56" s="307"/>
      <c r="D56" s="308"/>
      <c r="E56" s="309"/>
      <c r="F56" s="303"/>
    </row>
    <row r="57" spans="1:6" ht="13.5">
      <c r="A57" s="222" t="s">
        <v>2268</v>
      </c>
      <c r="B57" s="218" t="s">
        <v>69</v>
      </c>
      <c r="C57" s="219">
        <v>2</v>
      </c>
      <c r="D57" s="223"/>
      <c r="E57" s="221">
        <f>D57*C57</f>
        <v>0</v>
      </c>
      <c r="F57" s="85"/>
    </row>
    <row r="58" spans="1:6" ht="4.5" customHeight="1" thickBot="1">
      <c r="A58" s="246"/>
      <c r="B58" s="245"/>
      <c r="C58" s="118"/>
      <c r="D58" s="424"/>
      <c r="E58" s="87"/>
      <c r="F58" s="88"/>
    </row>
    <row r="59" spans="1:6" ht="13.5" thickBot="1">
      <c r="A59" s="90" t="s">
        <v>1298</v>
      </c>
      <c r="B59" s="115"/>
      <c r="C59" s="116"/>
      <c r="D59" s="188"/>
      <c r="E59" s="117">
        <f>SUM(E60:E70)</f>
        <v>0</v>
      </c>
      <c r="F59" s="83" t="s">
        <v>136</v>
      </c>
    </row>
    <row r="60" spans="1:6" ht="13.5">
      <c r="A60" s="222" t="s">
        <v>297</v>
      </c>
      <c r="B60" s="218" t="s">
        <v>83</v>
      </c>
      <c r="C60" s="219">
        <v>20</v>
      </c>
      <c r="D60" s="310"/>
      <c r="E60" s="221">
        <f>D60*C60</f>
        <v>0</v>
      </c>
      <c r="F60" s="85"/>
    </row>
    <row r="61" spans="1:6" ht="13.5">
      <c r="A61" s="217" t="s">
        <v>298</v>
      </c>
      <c r="B61" s="218" t="s">
        <v>83</v>
      </c>
      <c r="C61" s="219">
        <v>34</v>
      </c>
      <c r="D61" s="220"/>
      <c r="E61" s="221">
        <f aca="true" t="shared" si="0" ref="E61:E68">D61*C61</f>
        <v>0</v>
      </c>
      <c r="F61" s="119"/>
    </row>
    <row r="62" spans="1:6" ht="13.5">
      <c r="A62" s="217" t="s">
        <v>296</v>
      </c>
      <c r="B62" s="218" t="s">
        <v>83</v>
      </c>
      <c r="C62" s="219">
        <v>18</v>
      </c>
      <c r="D62" s="220"/>
      <c r="E62" s="221">
        <f t="shared" si="0"/>
        <v>0</v>
      </c>
      <c r="F62" s="119"/>
    </row>
    <row r="63" spans="1:6" ht="13.5">
      <c r="A63" s="217" t="s">
        <v>1300</v>
      </c>
      <c r="B63" s="218" t="s">
        <v>69</v>
      </c>
      <c r="C63" s="219">
        <v>14</v>
      </c>
      <c r="D63" s="220"/>
      <c r="E63" s="221">
        <f t="shared" si="0"/>
        <v>0</v>
      </c>
      <c r="F63" s="119"/>
    </row>
    <row r="64" spans="1:6" ht="13.5">
      <c r="A64" s="217" t="s">
        <v>1301</v>
      </c>
      <c r="B64" s="218" t="s">
        <v>69</v>
      </c>
      <c r="C64" s="219">
        <v>20</v>
      </c>
      <c r="D64" s="220"/>
      <c r="E64" s="221">
        <f t="shared" si="0"/>
        <v>0</v>
      </c>
      <c r="F64" s="119"/>
    </row>
    <row r="65" spans="1:6" ht="13.5">
      <c r="A65" s="217" t="s">
        <v>1302</v>
      </c>
      <c r="B65" s="218" t="s">
        <v>69</v>
      </c>
      <c r="C65" s="219">
        <v>2</v>
      </c>
      <c r="D65" s="220"/>
      <c r="E65" s="221">
        <f t="shared" si="0"/>
        <v>0</v>
      </c>
      <c r="F65" s="119"/>
    </row>
    <row r="66" spans="1:6" ht="13.5">
      <c r="A66" s="217" t="s">
        <v>1303</v>
      </c>
      <c r="B66" s="218" t="s">
        <v>69</v>
      </c>
      <c r="C66" s="219">
        <v>1</v>
      </c>
      <c r="D66" s="220"/>
      <c r="E66" s="221">
        <f t="shared" si="0"/>
        <v>0</v>
      </c>
      <c r="F66" s="119"/>
    </row>
    <row r="67" spans="1:6" ht="13.5">
      <c r="A67" s="217" t="s">
        <v>1299</v>
      </c>
      <c r="B67" s="218" t="s">
        <v>69</v>
      </c>
      <c r="C67" s="219">
        <v>2</v>
      </c>
      <c r="D67" s="220"/>
      <c r="E67" s="221">
        <f>D67*C67</f>
        <v>0</v>
      </c>
      <c r="F67" s="119"/>
    </row>
    <row r="68" spans="1:6" ht="13.5">
      <c r="A68" s="217" t="s">
        <v>1306</v>
      </c>
      <c r="B68" s="218" t="s">
        <v>69</v>
      </c>
      <c r="C68" s="219">
        <v>3</v>
      </c>
      <c r="D68" s="220"/>
      <c r="E68" s="221">
        <f t="shared" si="0"/>
        <v>0</v>
      </c>
      <c r="F68" s="119"/>
    </row>
    <row r="69" spans="1:6" ht="13.5">
      <c r="A69" s="217" t="s">
        <v>1304</v>
      </c>
      <c r="B69" s="218" t="s">
        <v>69</v>
      </c>
      <c r="C69" s="219">
        <v>5</v>
      </c>
      <c r="D69" s="220"/>
      <c r="E69" s="221">
        <f>D69*C69</f>
        <v>0</v>
      </c>
      <c r="F69" s="119"/>
    </row>
    <row r="70" spans="1:6" ht="13.5">
      <c r="A70" s="217" t="s">
        <v>1305</v>
      </c>
      <c r="B70" s="218" t="s">
        <v>69</v>
      </c>
      <c r="C70" s="219">
        <v>1</v>
      </c>
      <c r="D70" s="220"/>
      <c r="E70" s="221">
        <f>D70*C70</f>
        <v>0</v>
      </c>
      <c r="F70" s="119"/>
    </row>
    <row r="71" spans="1:6" ht="4.5" customHeight="1" thickBot="1">
      <c r="A71" s="246"/>
      <c r="B71" s="245"/>
      <c r="C71" s="118"/>
      <c r="D71" s="424"/>
      <c r="E71" s="87"/>
      <c r="F71" s="88"/>
    </row>
    <row r="72" spans="1:6" ht="26.25" thickBot="1">
      <c r="A72" s="90" t="s">
        <v>527</v>
      </c>
      <c r="B72" s="115"/>
      <c r="C72" s="116"/>
      <c r="D72" s="188"/>
      <c r="E72" s="117">
        <f>SUM(E73:E94)</f>
        <v>0</v>
      </c>
      <c r="F72" s="83" t="s">
        <v>136</v>
      </c>
    </row>
    <row r="73" spans="1:6" ht="13.5">
      <c r="A73" s="222" t="s">
        <v>1307</v>
      </c>
      <c r="B73" s="218" t="s">
        <v>83</v>
      </c>
      <c r="C73" s="219">
        <v>8</v>
      </c>
      <c r="D73" s="223"/>
      <c r="E73" s="221">
        <f aca="true" t="shared" si="1" ref="E73:E79">D73*C73</f>
        <v>0</v>
      </c>
      <c r="F73" s="85"/>
    </row>
    <row r="74" spans="1:6" ht="13.5">
      <c r="A74" s="222" t="s">
        <v>303</v>
      </c>
      <c r="B74" s="218" t="s">
        <v>83</v>
      </c>
      <c r="C74" s="219">
        <v>33</v>
      </c>
      <c r="D74" s="223"/>
      <c r="E74" s="221">
        <f t="shared" si="1"/>
        <v>0</v>
      </c>
      <c r="F74" s="85"/>
    </row>
    <row r="75" spans="1:6" ht="13.5">
      <c r="A75" s="217" t="s">
        <v>1308</v>
      </c>
      <c r="B75" s="218" t="s">
        <v>83</v>
      </c>
      <c r="C75" s="219">
        <v>18</v>
      </c>
      <c r="D75" s="220"/>
      <c r="E75" s="221">
        <f t="shared" si="1"/>
        <v>0</v>
      </c>
      <c r="F75" s="119"/>
    </row>
    <row r="76" spans="1:6" ht="13.5">
      <c r="A76" s="217" t="s">
        <v>304</v>
      </c>
      <c r="B76" s="218" t="s">
        <v>83</v>
      </c>
      <c r="C76" s="219">
        <v>36</v>
      </c>
      <c r="D76" s="220"/>
      <c r="E76" s="221">
        <f t="shared" si="1"/>
        <v>0</v>
      </c>
      <c r="F76" s="119"/>
    </row>
    <row r="77" spans="1:6" ht="13.5">
      <c r="A77" s="217" t="s">
        <v>528</v>
      </c>
      <c r="B77" s="218" t="s">
        <v>69</v>
      </c>
      <c r="C77" s="219">
        <v>3</v>
      </c>
      <c r="D77" s="220"/>
      <c r="E77" s="221">
        <f>D77*C77</f>
        <v>0</v>
      </c>
      <c r="F77" s="119"/>
    </row>
    <row r="78" spans="1:6" ht="13.5">
      <c r="A78" s="217" t="s">
        <v>305</v>
      </c>
      <c r="B78" s="218" t="s">
        <v>69</v>
      </c>
      <c r="C78" s="219">
        <v>6</v>
      </c>
      <c r="D78" s="220"/>
      <c r="E78" s="221">
        <f t="shared" si="1"/>
        <v>0</v>
      </c>
      <c r="F78" s="119"/>
    </row>
    <row r="79" spans="1:6" ht="13.5">
      <c r="A79" s="217" t="s">
        <v>306</v>
      </c>
      <c r="B79" s="218" t="s">
        <v>69</v>
      </c>
      <c r="C79" s="219">
        <v>45</v>
      </c>
      <c r="D79" s="220"/>
      <c r="E79" s="221">
        <f t="shared" si="1"/>
        <v>0</v>
      </c>
      <c r="F79" s="119"/>
    </row>
    <row r="80" spans="1:6" ht="13.5">
      <c r="A80" s="217" t="s">
        <v>1309</v>
      </c>
      <c r="B80" s="218" t="s">
        <v>69</v>
      </c>
      <c r="C80" s="219">
        <v>1</v>
      </c>
      <c r="D80" s="220"/>
      <c r="E80" s="221">
        <f>D80*C80</f>
        <v>0</v>
      </c>
      <c r="F80" s="119"/>
    </row>
    <row r="81" spans="1:6" ht="13.5">
      <c r="A81" s="217" t="s">
        <v>1310</v>
      </c>
      <c r="B81" s="218" t="s">
        <v>69</v>
      </c>
      <c r="C81" s="219">
        <v>7</v>
      </c>
      <c r="D81" s="220"/>
      <c r="E81" s="221">
        <f>D81*C81</f>
        <v>0</v>
      </c>
      <c r="F81" s="119"/>
    </row>
    <row r="82" spans="1:6" ht="13.5">
      <c r="A82" s="217" t="s">
        <v>307</v>
      </c>
      <c r="B82" s="218" t="s">
        <v>69</v>
      </c>
      <c r="C82" s="219">
        <v>10</v>
      </c>
      <c r="D82" s="220"/>
      <c r="E82" s="221">
        <f aca="true" t="shared" si="2" ref="E82:E93">D82*C82</f>
        <v>0</v>
      </c>
      <c r="F82" s="119"/>
    </row>
    <row r="83" spans="1:6" ht="13.5">
      <c r="A83" s="217" t="s">
        <v>1311</v>
      </c>
      <c r="B83" s="218" t="s">
        <v>69</v>
      </c>
      <c r="C83" s="219">
        <v>8</v>
      </c>
      <c r="D83" s="220"/>
      <c r="E83" s="221">
        <f>D83*C83</f>
        <v>0</v>
      </c>
      <c r="F83" s="119"/>
    </row>
    <row r="84" spans="1:6" ht="13.5">
      <c r="A84" s="217" t="s">
        <v>308</v>
      </c>
      <c r="B84" s="218" t="s">
        <v>69</v>
      </c>
      <c r="C84" s="219">
        <v>14</v>
      </c>
      <c r="D84" s="220"/>
      <c r="E84" s="221">
        <f t="shared" si="2"/>
        <v>0</v>
      </c>
      <c r="F84" s="119"/>
    </row>
    <row r="85" spans="1:6" ht="13.5">
      <c r="A85" s="217" t="s">
        <v>309</v>
      </c>
      <c r="B85" s="218" t="s">
        <v>69</v>
      </c>
      <c r="C85" s="219">
        <v>2</v>
      </c>
      <c r="D85" s="220"/>
      <c r="E85" s="221">
        <f t="shared" si="2"/>
        <v>0</v>
      </c>
      <c r="F85" s="119"/>
    </row>
    <row r="86" spans="1:6" ht="13.5">
      <c r="A86" s="217" t="s">
        <v>1312</v>
      </c>
      <c r="B86" s="218" t="s">
        <v>69</v>
      </c>
      <c r="C86" s="219">
        <v>1</v>
      </c>
      <c r="D86" s="220"/>
      <c r="E86" s="221">
        <f>D86*C86</f>
        <v>0</v>
      </c>
      <c r="F86" s="119"/>
    </row>
    <row r="87" spans="1:6" ht="13.5">
      <c r="A87" s="217" t="s">
        <v>310</v>
      </c>
      <c r="B87" s="218" t="s">
        <v>69</v>
      </c>
      <c r="C87" s="219">
        <v>2</v>
      </c>
      <c r="D87" s="220"/>
      <c r="E87" s="221">
        <f t="shared" si="2"/>
        <v>0</v>
      </c>
      <c r="F87" s="119"/>
    </row>
    <row r="88" spans="1:6" ht="13.5">
      <c r="A88" s="217" t="s">
        <v>1313</v>
      </c>
      <c r="B88" s="218" t="s">
        <v>69</v>
      </c>
      <c r="C88" s="219">
        <v>1</v>
      </c>
      <c r="D88" s="220"/>
      <c r="E88" s="221">
        <f t="shared" si="2"/>
        <v>0</v>
      </c>
      <c r="F88" s="119"/>
    </row>
    <row r="89" spans="1:6" ht="13.5">
      <c r="A89" s="217" t="s">
        <v>1314</v>
      </c>
      <c r="B89" s="218" t="s">
        <v>69</v>
      </c>
      <c r="C89" s="219">
        <v>9</v>
      </c>
      <c r="D89" s="220"/>
      <c r="E89" s="221">
        <f>D89*C89</f>
        <v>0</v>
      </c>
      <c r="F89" s="119"/>
    </row>
    <row r="90" spans="1:6" ht="13.5">
      <c r="A90" s="217" t="s">
        <v>311</v>
      </c>
      <c r="B90" s="218" t="s">
        <v>69</v>
      </c>
      <c r="C90" s="219">
        <v>2</v>
      </c>
      <c r="D90" s="220"/>
      <c r="E90" s="221">
        <f t="shared" si="2"/>
        <v>0</v>
      </c>
      <c r="F90" s="119"/>
    </row>
    <row r="91" spans="1:6" ht="13.5">
      <c r="A91" s="217" t="s">
        <v>312</v>
      </c>
      <c r="B91" s="218" t="s">
        <v>69</v>
      </c>
      <c r="C91" s="219">
        <v>1</v>
      </c>
      <c r="D91" s="220"/>
      <c r="E91" s="221">
        <f t="shared" si="2"/>
        <v>0</v>
      </c>
      <c r="F91" s="119"/>
    </row>
    <row r="92" spans="1:6" ht="13.5">
      <c r="A92" s="217" t="s">
        <v>529</v>
      </c>
      <c r="B92" s="218" t="s">
        <v>69</v>
      </c>
      <c r="C92" s="219">
        <v>3</v>
      </c>
      <c r="D92" s="220"/>
      <c r="E92" s="221">
        <f>D92*C92</f>
        <v>0</v>
      </c>
      <c r="F92" s="119"/>
    </row>
    <row r="93" spans="1:6" ht="13.5">
      <c r="A93" s="217" t="s">
        <v>313</v>
      </c>
      <c r="B93" s="218" t="s">
        <v>69</v>
      </c>
      <c r="C93" s="219">
        <v>6</v>
      </c>
      <c r="D93" s="220"/>
      <c r="E93" s="221">
        <f t="shared" si="2"/>
        <v>0</v>
      </c>
      <c r="F93" s="119"/>
    </row>
    <row r="94" spans="1:6" ht="13.5">
      <c r="A94" s="217" t="s">
        <v>1315</v>
      </c>
      <c r="B94" s="218" t="s">
        <v>69</v>
      </c>
      <c r="C94" s="219">
        <v>2</v>
      </c>
      <c r="D94" s="220"/>
      <c r="E94" s="221">
        <f>D94*C94</f>
        <v>0</v>
      </c>
      <c r="F94" s="119"/>
    </row>
    <row r="95" spans="1:6" ht="4.5" customHeight="1" thickBot="1">
      <c r="A95" s="246"/>
      <c r="B95" s="245"/>
      <c r="C95" s="118"/>
      <c r="D95" s="424"/>
      <c r="E95" s="87"/>
      <c r="F95" s="88"/>
    </row>
    <row r="96" spans="1:6" ht="13.5" thickBot="1">
      <c r="A96" s="90" t="s">
        <v>530</v>
      </c>
      <c r="B96" s="115"/>
      <c r="C96" s="116"/>
      <c r="D96" s="188"/>
      <c r="E96" s="117">
        <f>SUM(E97:E102)</f>
        <v>0</v>
      </c>
      <c r="F96" s="83" t="s">
        <v>136</v>
      </c>
    </row>
    <row r="97" spans="1:6" ht="13.5">
      <c r="A97" s="222" t="s">
        <v>1316</v>
      </c>
      <c r="B97" s="218" t="s">
        <v>69</v>
      </c>
      <c r="C97" s="219">
        <v>5</v>
      </c>
      <c r="D97" s="223"/>
      <c r="E97" s="221">
        <f aca="true" t="shared" si="3" ref="E97:E102">D97*C97</f>
        <v>0</v>
      </c>
      <c r="F97" s="85"/>
    </row>
    <row r="98" spans="1:6" ht="13.5">
      <c r="A98" s="222" t="s">
        <v>314</v>
      </c>
      <c r="B98" s="218" t="s">
        <v>69</v>
      </c>
      <c r="C98" s="219">
        <v>15</v>
      </c>
      <c r="D98" s="223"/>
      <c r="E98" s="221">
        <f t="shared" si="3"/>
        <v>0</v>
      </c>
      <c r="F98" s="85"/>
    </row>
    <row r="99" spans="1:6" ht="13.5">
      <c r="A99" s="217" t="s">
        <v>315</v>
      </c>
      <c r="B99" s="218" t="s">
        <v>69</v>
      </c>
      <c r="C99" s="219">
        <v>10</v>
      </c>
      <c r="D99" s="220"/>
      <c r="E99" s="221">
        <f t="shared" si="3"/>
        <v>0</v>
      </c>
      <c r="F99" s="119"/>
    </row>
    <row r="100" spans="1:6" ht="13.5">
      <c r="A100" s="217" t="s">
        <v>300</v>
      </c>
      <c r="B100" s="218" t="s">
        <v>69</v>
      </c>
      <c r="C100" s="219">
        <v>20</v>
      </c>
      <c r="D100" s="220"/>
      <c r="E100" s="221">
        <f t="shared" si="3"/>
        <v>0</v>
      </c>
      <c r="F100" s="119"/>
    </row>
    <row r="101" spans="1:6" ht="13.5">
      <c r="A101" s="217" t="s">
        <v>301</v>
      </c>
      <c r="B101" s="218" t="s">
        <v>69</v>
      </c>
      <c r="C101" s="219">
        <v>50</v>
      </c>
      <c r="D101" s="220"/>
      <c r="E101" s="221">
        <f t="shared" si="3"/>
        <v>0</v>
      </c>
      <c r="F101" s="119"/>
    </row>
    <row r="102" spans="1:6" ht="13.5">
      <c r="A102" s="217" t="s">
        <v>302</v>
      </c>
      <c r="B102" s="218" t="s">
        <v>69</v>
      </c>
      <c r="C102" s="219">
        <v>50</v>
      </c>
      <c r="D102" s="220"/>
      <c r="E102" s="221">
        <f t="shared" si="3"/>
        <v>0</v>
      </c>
      <c r="F102" s="119"/>
    </row>
    <row r="103" spans="1:6" ht="4.5" customHeight="1" thickBot="1">
      <c r="A103" s="246"/>
      <c r="B103" s="245"/>
      <c r="C103" s="118"/>
      <c r="D103" s="424"/>
      <c r="E103" s="87"/>
      <c r="F103" s="88"/>
    </row>
    <row r="104" spans="1:6" ht="13.5" thickBot="1">
      <c r="A104" s="90" t="s">
        <v>531</v>
      </c>
      <c r="B104" s="115"/>
      <c r="C104" s="116"/>
      <c r="D104" s="188"/>
      <c r="E104" s="117">
        <f>SUM(E105:E106)</f>
        <v>0</v>
      </c>
      <c r="F104" s="83" t="s">
        <v>136</v>
      </c>
    </row>
    <row r="105" spans="1:6" ht="13.5">
      <c r="A105" s="222" t="s">
        <v>532</v>
      </c>
      <c r="B105" s="218" t="s">
        <v>69</v>
      </c>
      <c r="C105" s="219">
        <v>7</v>
      </c>
      <c r="D105" s="223"/>
      <c r="E105" s="221">
        <f>D105*C105</f>
        <v>0</v>
      </c>
      <c r="F105" s="85"/>
    </row>
    <row r="106" spans="1:6" ht="13.5">
      <c r="A106" s="217" t="s">
        <v>533</v>
      </c>
      <c r="B106" s="218" t="s">
        <v>69</v>
      </c>
      <c r="C106" s="219">
        <f>C105</f>
        <v>7</v>
      </c>
      <c r="D106" s="220"/>
      <c r="E106" s="221">
        <f>D106*C106</f>
        <v>0</v>
      </c>
      <c r="F106" s="119"/>
    </row>
    <row r="107" spans="1:6" ht="4.5" customHeight="1" thickBot="1">
      <c r="A107" s="246"/>
      <c r="B107" s="245"/>
      <c r="C107" s="118"/>
      <c r="D107" s="424"/>
      <c r="E107" s="87"/>
      <c r="F107" s="88"/>
    </row>
    <row r="108" spans="1:6" ht="13.5" thickBot="1">
      <c r="A108" s="90" t="s">
        <v>2269</v>
      </c>
      <c r="B108" s="115"/>
      <c r="C108" s="116"/>
      <c r="D108" s="188"/>
      <c r="E108" s="117">
        <f>SUM(E109:E109)</f>
        <v>0</v>
      </c>
      <c r="F108" s="83" t="s">
        <v>136</v>
      </c>
    </row>
    <row r="109" spans="1:6" ht="13.5">
      <c r="A109" s="222" t="s">
        <v>2270</v>
      </c>
      <c r="B109" s="218" t="s">
        <v>69</v>
      </c>
      <c r="C109" s="219">
        <v>2</v>
      </c>
      <c r="D109" s="223"/>
      <c r="E109" s="221">
        <f>D109*C109</f>
        <v>0</v>
      </c>
      <c r="F109" s="85"/>
    </row>
    <row r="110" spans="1:6" ht="4.5" customHeight="1" thickBot="1">
      <c r="A110" s="246"/>
      <c r="B110" s="245"/>
      <c r="C110" s="118"/>
      <c r="D110" s="424"/>
      <c r="E110" s="87"/>
      <c r="F110" s="88"/>
    </row>
    <row r="111" spans="1:6" ht="13.5" thickBot="1">
      <c r="A111" s="90" t="s">
        <v>2271</v>
      </c>
      <c r="B111" s="115"/>
      <c r="C111" s="116"/>
      <c r="D111" s="188"/>
      <c r="E111" s="117">
        <f>SUM(E112:E122)</f>
        <v>0</v>
      </c>
      <c r="F111" s="83" t="s">
        <v>136</v>
      </c>
    </row>
    <row r="112" spans="1:6" ht="13.5">
      <c r="A112" s="222" t="s">
        <v>297</v>
      </c>
      <c r="B112" s="218" t="s">
        <v>83</v>
      </c>
      <c r="C112" s="219">
        <v>7</v>
      </c>
      <c r="D112" s="310"/>
      <c r="E112" s="221">
        <f aca="true" t="shared" si="4" ref="E112:E122">D112*C112</f>
        <v>0</v>
      </c>
      <c r="F112" s="85"/>
    </row>
    <row r="113" spans="1:6" ht="13.5">
      <c r="A113" s="217" t="s">
        <v>298</v>
      </c>
      <c r="B113" s="218" t="s">
        <v>83</v>
      </c>
      <c r="C113" s="219">
        <v>36</v>
      </c>
      <c r="D113" s="220"/>
      <c r="E113" s="221">
        <f t="shared" si="4"/>
        <v>0</v>
      </c>
      <c r="F113" s="119"/>
    </row>
    <row r="114" spans="1:6" ht="13.5">
      <c r="A114" s="217" t="s">
        <v>296</v>
      </c>
      <c r="B114" s="218" t="s">
        <v>83</v>
      </c>
      <c r="C114" s="219">
        <v>23</v>
      </c>
      <c r="D114" s="220"/>
      <c r="E114" s="221">
        <f t="shared" si="4"/>
        <v>0</v>
      </c>
      <c r="F114" s="119"/>
    </row>
    <row r="115" spans="1:6" ht="13.5">
      <c r="A115" s="217" t="s">
        <v>1308</v>
      </c>
      <c r="B115" s="218" t="s">
        <v>83</v>
      </c>
      <c r="C115" s="219">
        <v>19</v>
      </c>
      <c r="D115" s="220"/>
      <c r="E115" s="221">
        <f t="shared" si="4"/>
        <v>0</v>
      </c>
      <c r="F115" s="119"/>
    </row>
    <row r="116" spans="1:6" ht="13.5">
      <c r="A116" s="217" t="s">
        <v>1300</v>
      </c>
      <c r="B116" s="218" t="s">
        <v>69</v>
      </c>
      <c r="C116" s="219">
        <v>7</v>
      </c>
      <c r="D116" s="220"/>
      <c r="E116" s="221">
        <f t="shared" si="4"/>
        <v>0</v>
      </c>
      <c r="F116" s="119"/>
    </row>
    <row r="117" spans="1:6" ht="13.5">
      <c r="A117" s="217" t="s">
        <v>1301</v>
      </c>
      <c r="B117" s="218" t="s">
        <v>69</v>
      </c>
      <c r="C117" s="219">
        <v>10</v>
      </c>
      <c r="D117" s="220"/>
      <c r="E117" s="221">
        <f t="shared" si="4"/>
        <v>0</v>
      </c>
      <c r="F117" s="119"/>
    </row>
    <row r="118" spans="1:6" ht="13.5">
      <c r="A118" s="217" t="s">
        <v>1317</v>
      </c>
      <c r="B118" s="218" t="s">
        <v>69</v>
      </c>
      <c r="C118" s="219">
        <v>5</v>
      </c>
      <c r="D118" s="220"/>
      <c r="E118" s="221">
        <f t="shared" si="4"/>
        <v>0</v>
      </c>
      <c r="F118" s="119"/>
    </row>
    <row r="119" spans="1:6" ht="13.5">
      <c r="A119" s="217" t="s">
        <v>1318</v>
      </c>
      <c r="B119" s="218" t="s">
        <v>69</v>
      </c>
      <c r="C119" s="219">
        <v>1</v>
      </c>
      <c r="D119" s="220"/>
      <c r="E119" s="221">
        <f t="shared" si="4"/>
        <v>0</v>
      </c>
      <c r="F119" s="119"/>
    </row>
    <row r="120" spans="1:6" ht="13.5">
      <c r="A120" s="217" t="s">
        <v>1319</v>
      </c>
      <c r="B120" s="218" t="s">
        <v>69</v>
      </c>
      <c r="C120" s="219">
        <v>2</v>
      </c>
      <c r="D120" s="220"/>
      <c r="E120" s="221">
        <f t="shared" si="4"/>
        <v>0</v>
      </c>
      <c r="F120" s="119"/>
    </row>
    <row r="121" spans="1:6" ht="13.5">
      <c r="A121" s="217" t="s">
        <v>1320</v>
      </c>
      <c r="B121" s="218" t="s">
        <v>69</v>
      </c>
      <c r="C121" s="219">
        <v>1</v>
      </c>
      <c r="D121" s="220"/>
      <c r="E121" s="221">
        <f t="shared" si="4"/>
        <v>0</v>
      </c>
      <c r="F121" s="119"/>
    </row>
    <row r="122" spans="1:6" ht="12.75" customHeight="1">
      <c r="A122" s="217" t="s">
        <v>299</v>
      </c>
      <c r="B122" s="218" t="s">
        <v>69</v>
      </c>
      <c r="C122" s="219">
        <v>2</v>
      </c>
      <c r="D122" s="220"/>
      <c r="E122" s="221">
        <f t="shared" si="4"/>
        <v>0</v>
      </c>
      <c r="F122" s="119"/>
    </row>
    <row r="123" spans="1:6" ht="4.5" customHeight="1" thickBot="1">
      <c r="A123" s="246"/>
      <c r="B123" s="245"/>
      <c r="C123" s="118"/>
      <c r="D123" s="424"/>
      <c r="E123" s="87"/>
      <c r="F123" s="88"/>
    </row>
    <row r="124" spans="1:6" ht="13.5" thickBot="1">
      <c r="A124" s="90" t="s">
        <v>2272</v>
      </c>
      <c r="B124" s="115"/>
      <c r="C124" s="116"/>
      <c r="D124" s="188"/>
      <c r="E124" s="117">
        <f>SUM(E125:E127)</f>
        <v>0</v>
      </c>
      <c r="F124" s="83" t="s">
        <v>136</v>
      </c>
    </row>
    <row r="125" spans="1:6" ht="13.5">
      <c r="A125" s="217" t="s">
        <v>315</v>
      </c>
      <c r="B125" s="218" t="s">
        <v>69</v>
      </c>
      <c r="C125" s="219">
        <v>20</v>
      </c>
      <c r="D125" s="220"/>
      <c r="E125" s="221">
        <f aca="true" t="shared" si="5" ref="E125:E127">D125*C125</f>
        <v>0</v>
      </c>
      <c r="F125" s="119"/>
    </row>
    <row r="126" spans="1:6" ht="13.5">
      <c r="A126" s="217" t="s">
        <v>301</v>
      </c>
      <c r="B126" s="218" t="s">
        <v>69</v>
      </c>
      <c r="C126" s="219">
        <f>C125</f>
        <v>20</v>
      </c>
      <c r="D126" s="220"/>
      <c r="E126" s="221">
        <f t="shared" si="5"/>
        <v>0</v>
      </c>
      <c r="F126" s="119"/>
    </row>
    <row r="127" spans="1:6" ht="13.5">
      <c r="A127" s="217" t="s">
        <v>302</v>
      </c>
      <c r="B127" s="218" t="s">
        <v>69</v>
      </c>
      <c r="C127" s="219">
        <f>C125</f>
        <v>20</v>
      </c>
      <c r="D127" s="220"/>
      <c r="E127" s="221">
        <f t="shared" si="5"/>
        <v>0</v>
      </c>
      <c r="F127" s="119"/>
    </row>
    <row r="128" spans="1:6" ht="4.5" customHeight="1" thickBot="1">
      <c r="A128" s="246"/>
      <c r="B128" s="245"/>
      <c r="C128" s="118"/>
      <c r="D128" s="424"/>
      <c r="E128" s="87"/>
      <c r="F128" s="88"/>
    </row>
    <row r="129" spans="1:6" ht="13.5" thickBot="1">
      <c r="A129" s="90" t="s">
        <v>2273</v>
      </c>
      <c r="B129" s="115"/>
      <c r="C129" s="116"/>
      <c r="D129" s="188"/>
      <c r="E129" s="117">
        <f>SUM(E130:E140)</f>
        <v>0</v>
      </c>
      <c r="F129" s="83" t="s">
        <v>136</v>
      </c>
    </row>
    <row r="130" spans="1:6" ht="13.5">
      <c r="A130" s="222" t="s">
        <v>526</v>
      </c>
      <c r="B130" s="218" t="s">
        <v>83</v>
      </c>
      <c r="C130" s="219">
        <f>C60+C61+C62+C112+C113+C114</f>
        <v>138</v>
      </c>
      <c r="D130" s="223"/>
      <c r="E130" s="221">
        <f>D130*C130</f>
        <v>0</v>
      </c>
      <c r="F130" s="85"/>
    </row>
    <row r="131" spans="1:6" ht="13.5">
      <c r="A131" s="222" t="s">
        <v>1321</v>
      </c>
      <c r="B131" s="218" t="s">
        <v>66</v>
      </c>
      <c r="C131" s="219">
        <f>5*4.5*3.5</f>
        <v>78.75</v>
      </c>
      <c r="D131" s="223"/>
      <c r="E131" s="221">
        <f>D131*C131</f>
        <v>0</v>
      </c>
      <c r="F131" s="85"/>
    </row>
    <row r="132" spans="1:6" ht="13.5">
      <c r="A132" s="222" t="s">
        <v>512</v>
      </c>
      <c r="B132" s="218" t="s">
        <v>83</v>
      </c>
      <c r="C132" s="219">
        <v>11</v>
      </c>
      <c r="D132" s="223"/>
      <c r="E132" s="221">
        <f aca="true" t="shared" si="6" ref="E132:E138">D132*C132</f>
        <v>0</v>
      </c>
      <c r="F132" s="85"/>
    </row>
    <row r="133" spans="1:6" ht="13.5">
      <c r="A133" s="222" t="s">
        <v>513</v>
      </c>
      <c r="B133" s="218" t="s">
        <v>69</v>
      </c>
      <c r="C133" s="219">
        <v>1</v>
      </c>
      <c r="D133" s="223"/>
      <c r="E133" s="221">
        <f t="shared" si="6"/>
        <v>0</v>
      </c>
      <c r="F133" s="85"/>
    </row>
    <row r="134" spans="1:6" ht="13.5">
      <c r="A134" s="222" t="s">
        <v>520</v>
      </c>
      <c r="B134" s="218" t="s">
        <v>83</v>
      </c>
      <c r="C134" s="219">
        <f>C132</f>
        <v>11</v>
      </c>
      <c r="D134" s="223"/>
      <c r="E134" s="221">
        <f t="shared" si="6"/>
        <v>0</v>
      </c>
      <c r="F134" s="85"/>
    </row>
    <row r="135" spans="1:6" ht="13.5">
      <c r="A135" s="222" t="s">
        <v>514</v>
      </c>
      <c r="B135" s="218" t="s">
        <v>72</v>
      </c>
      <c r="C135" s="219">
        <f>SUM(E13:E123)/2</f>
        <v>0</v>
      </c>
      <c r="D135" s="316"/>
      <c r="E135" s="221">
        <f t="shared" si="6"/>
        <v>0</v>
      </c>
      <c r="F135" s="85"/>
    </row>
    <row r="136" spans="1:6" ht="13.5">
      <c r="A136" s="222" t="s">
        <v>525</v>
      </c>
      <c r="B136" s="218" t="s">
        <v>83</v>
      </c>
      <c r="C136" s="219">
        <f>C60+C61+C62+C73+C74+C75+C76+C112+C113+C114</f>
        <v>233</v>
      </c>
      <c r="D136" s="223"/>
      <c r="E136" s="221">
        <f t="shared" si="6"/>
        <v>0</v>
      </c>
      <c r="F136" s="85"/>
    </row>
    <row r="137" spans="1:6" ht="13.5">
      <c r="A137" s="222" t="s">
        <v>1985</v>
      </c>
      <c r="B137" s="218" t="s">
        <v>69</v>
      </c>
      <c r="C137" s="219">
        <v>1</v>
      </c>
      <c r="D137" s="223"/>
      <c r="E137" s="221">
        <f t="shared" si="6"/>
        <v>0</v>
      </c>
      <c r="F137" s="85"/>
    </row>
    <row r="138" spans="1:6" ht="13.5">
      <c r="A138" s="222" t="s">
        <v>516</v>
      </c>
      <c r="B138" s="218" t="s">
        <v>69</v>
      </c>
      <c r="C138" s="219">
        <v>1</v>
      </c>
      <c r="D138" s="223"/>
      <c r="E138" s="221">
        <f t="shared" si="6"/>
        <v>0</v>
      </c>
      <c r="F138" s="85"/>
    </row>
    <row r="139" spans="1:6" ht="13.5">
      <c r="A139" s="222" t="s">
        <v>517</v>
      </c>
      <c r="B139" s="218" t="s">
        <v>69</v>
      </c>
      <c r="C139" s="219">
        <v>1</v>
      </c>
      <c r="D139" s="223"/>
      <c r="E139" s="221">
        <f>D139*C139</f>
        <v>0</v>
      </c>
      <c r="F139" s="85"/>
    </row>
    <row r="140" spans="1:6" ht="13.5">
      <c r="A140" s="222" t="s">
        <v>2419</v>
      </c>
      <c r="B140" s="218" t="s">
        <v>519</v>
      </c>
      <c r="C140" s="219">
        <v>4</v>
      </c>
      <c r="D140" s="223"/>
      <c r="E140" s="221">
        <f>D140*C140</f>
        <v>0</v>
      </c>
      <c r="F140" s="85"/>
    </row>
    <row r="141" spans="1:6" ht="6" customHeight="1" thickBot="1">
      <c r="A141" s="89"/>
      <c r="B141" s="122"/>
      <c r="C141" s="123"/>
      <c r="D141" s="424"/>
      <c r="E141" s="87"/>
      <c r="F141" s="88"/>
    </row>
    <row r="142" spans="1:6" ht="16.9" customHeight="1" thickBot="1">
      <c r="A142" s="124" t="s">
        <v>214</v>
      </c>
      <c r="B142" s="93"/>
      <c r="C142" s="125"/>
      <c r="D142" s="94"/>
      <c r="E142" s="95">
        <f>SUM(E12:E141)/2</f>
        <v>0</v>
      </c>
      <c r="F142" s="126" t="s">
        <v>136</v>
      </c>
    </row>
    <row r="143" spans="1:6" ht="13.5">
      <c r="A143" s="86"/>
      <c r="B143" s="91"/>
      <c r="C143" s="92"/>
      <c r="D143" s="82"/>
      <c r="E143" s="82"/>
      <c r="F143" s="96"/>
    </row>
    <row r="144" spans="1:7" ht="13.5">
      <c r="A144" s="714" t="s">
        <v>137</v>
      </c>
      <c r="B144" s="714"/>
      <c r="C144" s="714"/>
      <c r="D144" s="714"/>
      <c r="E144" s="714"/>
      <c r="F144" s="714"/>
      <c r="G144" s="102"/>
    </row>
    <row r="145" spans="1:7" ht="4.9" customHeight="1">
      <c r="A145" s="97"/>
      <c r="B145" s="98"/>
      <c r="C145" s="99"/>
      <c r="D145" s="100"/>
      <c r="E145" s="101"/>
      <c r="F145" s="102"/>
      <c r="G145" s="102"/>
    </row>
    <row r="146" spans="1:7" ht="13.5">
      <c r="A146" s="713" t="s">
        <v>138</v>
      </c>
      <c r="B146" s="713"/>
      <c r="C146" s="713"/>
      <c r="D146" s="713"/>
      <c r="E146" s="713"/>
      <c r="F146" s="713"/>
      <c r="G146" s="102"/>
    </row>
    <row r="147" spans="1:7" ht="13.5">
      <c r="A147" s="713" t="s">
        <v>139</v>
      </c>
      <c r="B147" s="713"/>
      <c r="C147" s="713"/>
      <c r="D147" s="713"/>
      <c r="E147" s="713"/>
      <c r="F147" s="713"/>
      <c r="G147" s="102"/>
    </row>
    <row r="148" spans="1:7" ht="13.5">
      <c r="A148" s="713" t="s">
        <v>140</v>
      </c>
      <c r="B148" s="713"/>
      <c r="C148" s="713"/>
      <c r="D148" s="713"/>
      <c r="E148" s="713"/>
      <c r="F148" s="713"/>
      <c r="G148" s="102"/>
    </row>
    <row r="149" spans="1:7" ht="7.9" customHeight="1">
      <c r="A149" s="97"/>
      <c r="B149" s="98"/>
      <c r="C149" s="99"/>
      <c r="D149" s="100"/>
      <c r="E149" s="101"/>
      <c r="F149" s="102"/>
      <c r="G149" s="102"/>
    </row>
    <row r="150" spans="1:7" ht="33.6" customHeight="1">
      <c r="A150" s="697" t="s">
        <v>141</v>
      </c>
      <c r="B150" s="697"/>
      <c r="C150" s="697"/>
      <c r="D150" s="697"/>
      <c r="E150" s="697"/>
      <c r="F150" s="697"/>
      <c r="G150" s="84"/>
    </row>
    <row r="151" spans="1:7" ht="6.75" customHeight="1">
      <c r="A151" s="97"/>
      <c r="B151" s="98"/>
      <c r="C151" s="99"/>
      <c r="D151" s="100"/>
      <c r="E151" s="101"/>
      <c r="F151" s="102"/>
      <c r="G151" s="102"/>
    </row>
    <row r="152" spans="1:7" ht="69.75" customHeight="1">
      <c r="A152" s="697" t="s">
        <v>142</v>
      </c>
      <c r="B152" s="697"/>
      <c r="C152" s="697"/>
      <c r="D152" s="697"/>
      <c r="E152" s="697"/>
      <c r="F152" s="697"/>
      <c r="G152" s="84"/>
    </row>
    <row r="153" spans="1:7" ht="5.45" customHeight="1">
      <c r="A153" s="97"/>
      <c r="B153" s="98"/>
      <c r="C153" s="99"/>
      <c r="D153" s="100"/>
      <c r="E153" s="101"/>
      <c r="F153" s="102"/>
      <c r="G153" s="102"/>
    </row>
    <row r="154" spans="1:7" ht="14.25" customHeight="1">
      <c r="A154" s="698" t="s">
        <v>143</v>
      </c>
      <c r="B154" s="698"/>
      <c r="C154" s="698"/>
      <c r="D154" s="698"/>
      <c r="E154" s="698"/>
      <c r="F154" s="698"/>
      <c r="G154" s="128"/>
    </row>
    <row r="155" spans="1:7" ht="4.15" customHeight="1">
      <c r="A155" s="97"/>
      <c r="B155" s="98"/>
      <c r="C155" s="99"/>
      <c r="D155" s="100"/>
      <c r="E155" s="101"/>
      <c r="F155" s="102"/>
      <c r="G155" s="102"/>
    </row>
    <row r="156" spans="1:7" ht="25.5" customHeight="1">
      <c r="A156" s="699" t="s">
        <v>144</v>
      </c>
      <c r="B156" s="699"/>
      <c r="C156" s="699"/>
      <c r="D156" s="699"/>
      <c r="E156" s="699"/>
      <c r="F156" s="699"/>
      <c r="G156" s="128"/>
    </row>
    <row r="157" spans="1:6" ht="3" customHeight="1">
      <c r="A157" s="86"/>
      <c r="B157" s="91"/>
      <c r="C157" s="92"/>
      <c r="D157" s="82"/>
      <c r="E157" s="82"/>
      <c r="F157" s="96"/>
    </row>
    <row r="158" spans="1:6" ht="13.5">
      <c r="A158" s="86"/>
      <c r="B158" s="91"/>
      <c r="C158" s="92"/>
      <c r="D158" s="82"/>
      <c r="E158" s="82"/>
      <c r="F158" s="96"/>
    </row>
    <row r="159" spans="1:6" ht="13.5">
      <c r="A159" s="86"/>
      <c r="B159" s="91"/>
      <c r="C159" s="92"/>
      <c r="D159" s="82"/>
      <c r="E159" s="82"/>
      <c r="F159" s="96"/>
    </row>
    <row r="160" spans="1:6" ht="13.5">
      <c r="A160" s="86"/>
      <c r="B160" s="91"/>
      <c r="C160" s="92"/>
      <c r="D160" s="82"/>
      <c r="E160" s="82"/>
      <c r="F160" s="96"/>
    </row>
    <row r="161" spans="1:6" ht="13.5">
      <c r="A161" s="86"/>
      <c r="B161" s="91"/>
      <c r="C161" s="92"/>
      <c r="D161" s="82"/>
      <c r="E161" s="82"/>
      <c r="F161" s="96"/>
    </row>
    <row r="162" spans="1:6" ht="13.5">
      <c r="A162" s="86"/>
      <c r="B162" s="91"/>
      <c r="C162" s="92"/>
      <c r="D162" s="82"/>
      <c r="E162" s="82"/>
      <c r="F162" s="96"/>
    </row>
    <row r="163" spans="1:6" ht="13.5">
      <c r="A163" s="86"/>
      <c r="B163" s="91"/>
      <c r="C163" s="92"/>
      <c r="D163" s="82"/>
      <c r="E163" s="82"/>
      <c r="F163" s="96"/>
    </row>
    <row r="164" spans="1:6" ht="13.5">
      <c r="A164" s="86"/>
      <c r="B164" s="91"/>
      <c r="C164" s="92"/>
      <c r="D164" s="82"/>
      <c r="E164" s="82"/>
      <c r="F164" s="96"/>
    </row>
    <row r="165" spans="1:6" ht="13.5">
      <c r="A165" s="86"/>
      <c r="B165" s="91"/>
      <c r="C165" s="92"/>
      <c r="D165" s="82"/>
      <c r="E165" s="82"/>
      <c r="F165" s="96"/>
    </row>
    <row r="166" spans="1:6" ht="13.5">
      <c r="A166" s="86"/>
      <c r="B166" s="91"/>
      <c r="C166" s="92"/>
      <c r="D166" s="82"/>
      <c r="E166" s="82"/>
      <c r="F166" s="96"/>
    </row>
    <row r="167" spans="1:6" ht="13.5">
      <c r="A167" s="86"/>
      <c r="B167" s="91"/>
      <c r="C167" s="92"/>
      <c r="D167" s="82"/>
      <c r="E167" s="82"/>
      <c r="F167" s="96"/>
    </row>
    <row r="168" spans="1:6" ht="13.5">
      <c r="A168" s="86"/>
      <c r="B168" s="91"/>
      <c r="C168" s="92"/>
      <c r="D168" s="82"/>
      <c r="E168" s="82"/>
      <c r="F168" s="96"/>
    </row>
    <row r="169" spans="1:6" ht="13.5">
      <c r="A169" s="86"/>
      <c r="B169" s="91"/>
      <c r="C169" s="92"/>
      <c r="D169" s="82"/>
      <c r="E169" s="82"/>
      <c r="F169" s="96"/>
    </row>
    <row r="170" spans="1:6" ht="13.5">
      <c r="A170" s="86"/>
      <c r="B170" s="91"/>
      <c r="C170" s="92"/>
      <c r="D170" s="82"/>
      <c r="E170" s="82"/>
      <c r="F170" s="96"/>
    </row>
    <row r="171" spans="1:6" ht="13.5">
      <c r="A171" s="86"/>
      <c r="B171" s="91"/>
      <c r="C171" s="92"/>
      <c r="D171" s="82"/>
      <c r="E171" s="82"/>
      <c r="F171" s="96"/>
    </row>
    <row r="172" spans="1:6" ht="13.5">
      <c r="A172" s="86"/>
      <c r="B172" s="91"/>
      <c r="C172" s="92"/>
      <c r="D172" s="82"/>
      <c r="E172" s="82"/>
      <c r="F172" s="96"/>
    </row>
    <row r="173" spans="1:6" ht="13.5">
      <c r="A173" s="86"/>
      <c r="B173" s="91"/>
      <c r="C173" s="92"/>
      <c r="D173" s="82"/>
      <c r="E173" s="82"/>
      <c r="F173" s="96"/>
    </row>
    <row r="174" spans="1:6" ht="13.5">
      <c r="A174" s="86"/>
      <c r="B174" s="91"/>
      <c r="C174" s="92"/>
      <c r="D174" s="82"/>
      <c r="E174" s="82"/>
      <c r="F174" s="96"/>
    </row>
    <row r="175" spans="1:6" ht="13.5">
      <c r="A175" s="86"/>
      <c r="B175" s="91"/>
      <c r="C175" s="92"/>
      <c r="D175" s="82"/>
      <c r="E175" s="82"/>
      <c r="F175" s="96"/>
    </row>
    <row r="176" spans="1:6" ht="13.5">
      <c r="A176" s="86"/>
      <c r="B176" s="91"/>
      <c r="C176" s="92"/>
      <c r="D176" s="82"/>
      <c r="E176" s="82"/>
      <c r="F176" s="96"/>
    </row>
    <row r="177" spans="1:6" ht="13.5">
      <c r="A177" s="86"/>
      <c r="B177" s="91"/>
      <c r="C177" s="92"/>
      <c r="D177" s="82"/>
      <c r="E177" s="82"/>
      <c r="F177" s="96"/>
    </row>
    <row r="178" spans="1:6" ht="13.5">
      <c r="A178" s="86"/>
      <c r="B178" s="91"/>
      <c r="C178" s="92"/>
      <c r="D178" s="82"/>
      <c r="E178" s="82"/>
      <c r="F178" s="96"/>
    </row>
    <row r="179" spans="1:6" ht="13.5">
      <c r="A179" s="86"/>
      <c r="B179" s="91"/>
      <c r="C179" s="92"/>
      <c r="D179" s="82"/>
      <c r="E179" s="82"/>
      <c r="F179" s="96"/>
    </row>
    <row r="180" spans="1:6" ht="13.5">
      <c r="A180" s="86"/>
      <c r="B180" s="91"/>
      <c r="C180" s="92"/>
      <c r="D180" s="82"/>
      <c r="E180" s="82"/>
      <c r="F180" s="96"/>
    </row>
    <row r="181" spans="1:6" ht="13.5">
      <c r="A181" s="86"/>
      <c r="B181" s="91"/>
      <c r="C181" s="92"/>
      <c r="D181" s="82"/>
      <c r="E181" s="82"/>
      <c r="F181" s="96"/>
    </row>
    <row r="182" spans="1:6" ht="13.5">
      <c r="A182" s="86"/>
      <c r="B182" s="91"/>
      <c r="C182" s="92"/>
      <c r="D182" s="82"/>
      <c r="E182" s="82"/>
      <c r="F182" s="96"/>
    </row>
    <row r="183" spans="1:6" ht="13.5">
      <c r="A183" s="86"/>
      <c r="B183" s="91"/>
      <c r="C183" s="92"/>
      <c r="D183" s="82"/>
      <c r="E183" s="82"/>
      <c r="F183" s="96"/>
    </row>
    <row r="184" spans="1:6" ht="13.5">
      <c r="A184" s="86"/>
      <c r="B184" s="91"/>
      <c r="C184" s="92"/>
      <c r="D184" s="82"/>
      <c r="E184" s="82"/>
      <c r="F184" s="96"/>
    </row>
    <row r="185" spans="1:6" ht="13.5">
      <c r="A185" s="86"/>
      <c r="B185" s="91"/>
      <c r="C185" s="92"/>
      <c r="D185" s="82"/>
      <c r="E185" s="82"/>
      <c r="F185" s="96"/>
    </row>
    <row r="186" spans="1:6" ht="13.5">
      <c r="A186" s="86"/>
      <c r="B186" s="91"/>
      <c r="C186" s="92"/>
      <c r="D186" s="82"/>
      <c r="E186" s="82"/>
      <c r="F186" s="96"/>
    </row>
    <row r="187" spans="1:6" ht="13.5">
      <c r="A187" s="86"/>
      <c r="B187" s="91"/>
      <c r="C187" s="92"/>
      <c r="D187" s="82"/>
      <c r="E187" s="82"/>
      <c r="F187" s="96"/>
    </row>
    <row r="188" spans="1:6" ht="13.5">
      <c r="A188" s="86"/>
      <c r="B188" s="91"/>
      <c r="C188" s="92"/>
      <c r="D188" s="82"/>
      <c r="E188" s="82"/>
      <c r="F188" s="96"/>
    </row>
    <row r="189" spans="1:6" ht="13.5">
      <c r="A189" s="86"/>
      <c r="B189" s="91"/>
      <c r="C189" s="92"/>
      <c r="D189" s="82"/>
      <c r="E189" s="82"/>
      <c r="F189" s="96"/>
    </row>
    <row r="190" spans="1:6" ht="13.5">
      <c r="A190" s="86"/>
      <c r="B190" s="91"/>
      <c r="C190" s="92"/>
      <c r="D190" s="82"/>
      <c r="E190" s="82"/>
      <c r="F190" s="96"/>
    </row>
    <row r="191" spans="1:6" ht="13.5">
      <c r="A191" s="86"/>
      <c r="B191" s="91"/>
      <c r="C191" s="92"/>
      <c r="D191" s="82"/>
      <c r="E191" s="82"/>
      <c r="F191" s="96"/>
    </row>
    <row r="192" spans="1:6" ht="13.5">
      <c r="A192" s="86"/>
      <c r="B192" s="91"/>
      <c r="C192" s="92"/>
      <c r="D192" s="82"/>
      <c r="E192" s="82"/>
      <c r="F192" s="96"/>
    </row>
    <row r="193" spans="1:6" ht="13.5">
      <c r="A193" s="86"/>
      <c r="B193" s="91"/>
      <c r="C193" s="92"/>
      <c r="D193" s="82"/>
      <c r="E193" s="82"/>
      <c r="F193" s="96"/>
    </row>
    <row r="194" spans="1:6" ht="13.5">
      <c r="A194" s="86"/>
      <c r="B194" s="91"/>
      <c r="C194" s="92"/>
      <c r="D194" s="82"/>
      <c r="E194" s="82"/>
      <c r="F194" s="96"/>
    </row>
    <row r="195" spans="1:6" ht="13.5">
      <c r="A195" s="86"/>
      <c r="B195" s="91"/>
      <c r="C195" s="92"/>
      <c r="D195" s="82"/>
      <c r="E195" s="82"/>
      <c r="F195" s="96"/>
    </row>
    <row r="196" spans="1:6" ht="13.5">
      <c r="A196" s="86"/>
      <c r="B196" s="91"/>
      <c r="C196" s="92"/>
      <c r="D196" s="82"/>
      <c r="E196" s="82"/>
      <c r="F196" s="96"/>
    </row>
    <row r="197" spans="1:6" ht="13.5">
      <c r="A197" s="86"/>
      <c r="B197" s="91"/>
      <c r="C197" s="92"/>
      <c r="D197" s="82"/>
      <c r="E197" s="82"/>
      <c r="F197" s="96"/>
    </row>
    <row r="198" spans="1:6" ht="13.5">
      <c r="A198" s="86"/>
      <c r="B198" s="91"/>
      <c r="C198" s="92"/>
      <c r="D198" s="82"/>
      <c r="E198" s="82"/>
      <c r="F198" s="96"/>
    </row>
    <row r="199" spans="1:6" ht="13.5">
      <c r="A199" s="86"/>
      <c r="B199" s="91"/>
      <c r="C199" s="92"/>
      <c r="D199" s="82"/>
      <c r="E199" s="82"/>
      <c r="F199" s="96"/>
    </row>
    <row r="200" spans="1:6" ht="13.5">
      <c r="A200" s="86"/>
      <c r="B200" s="91"/>
      <c r="C200" s="92"/>
      <c r="D200" s="82"/>
      <c r="E200" s="82"/>
      <c r="F200" s="96"/>
    </row>
    <row r="201" spans="1:6" ht="13.5">
      <c r="A201" s="86"/>
      <c r="B201" s="91"/>
      <c r="C201" s="92"/>
      <c r="D201" s="82"/>
      <c r="E201" s="82"/>
      <c r="F201" s="96"/>
    </row>
    <row r="202" spans="1:6" ht="13.5">
      <c r="A202" s="86"/>
      <c r="B202" s="91"/>
      <c r="C202" s="92"/>
      <c r="D202" s="82"/>
      <c r="E202" s="82"/>
      <c r="F202" s="96"/>
    </row>
    <row r="203" spans="1:6" ht="13.5">
      <c r="A203" s="86"/>
      <c r="B203" s="91"/>
      <c r="C203" s="92"/>
      <c r="D203" s="82"/>
      <c r="E203" s="82"/>
      <c r="F203" s="96"/>
    </row>
    <row r="204" spans="1:6" ht="13.5">
      <c r="A204" s="86"/>
      <c r="B204" s="91"/>
      <c r="C204" s="92"/>
      <c r="D204" s="82"/>
      <c r="E204" s="82"/>
      <c r="F204" s="96"/>
    </row>
    <row r="205" spans="1:6" ht="13.5">
      <c r="A205" s="86"/>
      <c r="B205" s="91"/>
      <c r="C205" s="92"/>
      <c r="D205" s="82"/>
      <c r="E205" s="82"/>
      <c r="F205" s="96"/>
    </row>
    <row r="206" spans="1:6" ht="13.5">
      <c r="A206" s="86"/>
      <c r="B206" s="91"/>
      <c r="C206" s="92"/>
      <c r="D206" s="82"/>
      <c r="E206" s="82"/>
      <c r="F206" s="96"/>
    </row>
    <row r="207" spans="1:6" ht="13.5">
      <c r="A207" s="86"/>
      <c r="B207" s="91"/>
      <c r="C207" s="92"/>
      <c r="D207" s="82"/>
      <c r="E207" s="82"/>
      <c r="F207" s="96"/>
    </row>
    <row r="208" spans="1:6" ht="13.5">
      <c r="A208" s="86"/>
      <c r="B208" s="91"/>
      <c r="C208" s="92"/>
      <c r="D208" s="82"/>
      <c r="E208" s="82"/>
      <c r="F208" s="96"/>
    </row>
    <row r="209" spans="1:6" ht="13.5">
      <c r="A209" s="86"/>
      <c r="B209" s="91"/>
      <c r="C209" s="92"/>
      <c r="D209" s="82"/>
      <c r="E209" s="82"/>
      <c r="F209" s="96"/>
    </row>
    <row r="210" spans="1:6" ht="13.5">
      <c r="A210" s="86"/>
      <c r="B210" s="91"/>
      <c r="C210" s="92"/>
      <c r="D210" s="82"/>
      <c r="E210" s="82"/>
      <c r="F210" s="96"/>
    </row>
    <row r="211" spans="1:6" ht="13.5">
      <c r="A211" s="86"/>
      <c r="B211" s="91"/>
      <c r="C211" s="92"/>
      <c r="D211" s="82"/>
      <c r="E211" s="82"/>
      <c r="F211" s="96"/>
    </row>
    <row r="212" spans="1:6" ht="13.5">
      <c r="A212" s="86"/>
      <c r="B212" s="91"/>
      <c r="C212" s="92"/>
      <c r="D212" s="82"/>
      <c r="E212" s="82"/>
      <c r="F212" s="96"/>
    </row>
    <row r="213" spans="1:6" ht="13.5">
      <c r="A213" s="86"/>
      <c r="B213" s="91"/>
      <c r="C213" s="92"/>
      <c r="D213" s="82"/>
      <c r="E213" s="82"/>
      <c r="F213" s="96"/>
    </row>
    <row r="214" spans="1:6" ht="13.5">
      <c r="A214" s="86"/>
      <c r="B214" s="91"/>
      <c r="C214" s="92"/>
      <c r="D214" s="82"/>
      <c r="E214" s="82"/>
      <c r="F214" s="96"/>
    </row>
    <row r="215" spans="1:6" ht="13.5">
      <c r="A215" s="86"/>
      <c r="B215" s="91"/>
      <c r="C215" s="92"/>
      <c r="D215" s="82"/>
      <c r="E215" s="82"/>
      <c r="F215" s="96"/>
    </row>
    <row r="216" spans="1:6" ht="13.5">
      <c r="A216" s="86"/>
      <c r="B216" s="91"/>
      <c r="C216" s="92"/>
      <c r="D216" s="82"/>
      <c r="E216" s="82"/>
      <c r="F216" s="96"/>
    </row>
    <row r="217" spans="1:6" ht="13.5">
      <c r="A217" s="86"/>
      <c r="B217" s="91"/>
      <c r="C217" s="92"/>
      <c r="D217" s="82"/>
      <c r="E217" s="82"/>
      <c r="F217" s="96"/>
    </row>
    <row r="218" spans="1:6" ht="13.5">
      <c r="A218" s="86"/>
      <c r="B218" s="91"/>
      <c r="C218" s="92"/>
      <c r="D218" s="82"/>
      <c r="E218" s="82"/>
      <c r="F218" s="96"/>
    </row>
    <row r="219" spans="1:6" ht="13.5">
      <c r="A219" s="86"/>
      <c r="B219" s="91"/>
      <c r="C219" s="92"/>
      <c r="D219" s="82"/>
      <c r="E219" s="82"/>
      <c r="F219" s="96"/>
    </row>
    <row r="220" spans="1:6" ht="13.5">
      <c r="A220" s="86"/>
      <c r="B220" s="91"/>
      <c r="C220" s="92"/>
      <c r="D220" s="82"/>
      <c r="E220" s="82"/>
      <c r="F220" s="96"/>
    </row>
    <row r="221" spans="1:6" ht="13.5">
      <c r="A221" s="86"/>
      <c r="B221" s="91"/>
      <c r="C221" s="92"/>
      <c r="D221" s="82"/>
      <c r="E221" s="82"/>
      <c r="F221" s="96"/>
    </row>
    <row r="222" spans="1:6" ht="13.5">
      <c r="A222" s="86"/>
      <c r="B222" s="91"/>
      <c r="C222" s="92"/>
      <c r="D222" s="82"/>
      <c r="E222" s="82"/>
      <c r="F222" s="96"/>
    </row>
    <row r="223" spans="1:6" ht="13.5">
      <c r="A223" s="86"/>
      <c r="B223" s="91"/>
      <c r="C223" s="92"/>
      <c r="D223" s="82"/>
      <c r="E223" s="82"/>
      <c r="F223" s="96"/>
    </row>
    <row r="224" spans="1:6" ht="13.5">
      <c r="A224" s="86"/>
      <c r="B224" s="91"/>
      <c r="C224" s="92"/>
      <c r="D224" s="82"/>
      <c r="E224" s="82"/>
      <c r="F224" s="96"/>
    </row>
    <row r="225" spans="1:6" ht="13.5">
      <c r="A225" s="86"/>
      <c r="B225" s="91"/>
      <c r="C225" s="92"/>
      <c r="D225" s="82"/>
      <c r="E225" s="82"/>
      <c r="F225" s="96"/>
    </row>
    <row r="226" spans="1:6" ht="13.5">
      <c r="A226" s="86"/>
      <c r="B226" s="91"/>
      <c r="C226" s="92"/>
      <c r="D226" s="82"/>
      <c r="E226" s="82"/>
      <c r="F226" s="96"/>
    </row>
    <row r="227" spans="1:6" ht="13.5">
      <c r="A227" s="86"/>
      <c r="B227" s="91"/>
      <c r="C227" s="92"/>
      <c r="D227" s="82"/>
      <c r="E227" s="82"/>
      <c r="F227" s="96"/>
    </row>
    <row r="228" spans="1:6" ht="13.5">
      <c r="A228" s="86"/>
      <c r="B228" s="91"/>
      <c r="C228" s="92"/>
      <c r="D228" s="82"/>
      <c r="E228" s="82"/>
      <c r="F228" s="96"/>
    </row>
    <row r="229" spans="1:6" ht="13.5">
      <c r="A229" s="86"/>
      <c r="B229" s="91"/>
      <c r="C229" s="92"/>
      <c r="D229" s="82"/>
      <c r="E229" s="82"/>
      <c r="F229" s="96"/>
    </row>
    <row r="230" spans="1:6" ht="13.5">
      <c r="A230" s="86"/>
      <c r="B230" s="91"/>
      <c r="C230" s="92"/>
      <c r="D230" s="82"/>
      <c r="E230" s="82"/>
      <c r="F230" s="96"/>
    </row>
    <row r="231" spans="1:6" ht="13.5">
      <c r="A231" s="86"/>
      <c r="B231" s="91"/>
      <c r="C231" s="92"/>
      <c r="D231" s="82"/>
      <c r="E231" s="82"/>
      <c r="F231" s="96"/>
    </row>
    <row r="232" spans="1:6" ht="13.5">
      <c r="A232" s="86"/>
      <c r="B232" s="91"/>
      <c r="C232" s="92"/>
      <c r="D232" s="82"/>
      <c r="E232" s="82"/>
      <c r="F232" s="96"/>
    </row>
    <row r="233" spans="1:6" ht="13.5">
      <c r="A233" s="86"/>
      <c r="B233" s="91"/>
      <c r="C233" s="92"/>
      <c r="D233" s="82"/>
      <c r="E233" s="82"/>
      <c r="F233" s="96"/>
    </row>
    <row r="234" spans="1:6" ht="13.5">
      <c r="A234" s="86"/>
      <c r="B234" s="91"/>
      <c r="C234" s="92"/>
      <c r="D234" s="82"/>
      <c r="E234" s="82"/>
      <c r="F234" s="96"/>
    </row>
    <row r="235" spans="1:6" ht="13.5">
      <c r="A235" s="86"/>
      <c r="B235" s="91"/>
      <c r="C235" s="92"/>
      <c r="D235" s="82"/>
      <c r="E235" s="82"/>
      <c r="F235" s="96"/>
    </row>
    <row r="236" spans="1:6" ht="13.5">
      <c r="A236" s="86"/>
      <c r="B236" s="91"/>
      <c r="C236" s="92"/>
      <c r="D236" s="82"/>
      <c r="E236" s="82"/>
      <c r="F236" s="96"/>
    </row>
    <row r="237" spans="1:6" ht="13.5">
      <c r="A237" s="86"/>
      <c r="B237" s="91"/>
      <c r="C237" s="92"/>
      <c r="D237" s="82"/>
      <c r="E237" s="82"/>
      <c r="F237" s="96"/>
    </row>
    <row r="238" spans="1:6" ht="13.5">
      <c r="A238" s="86"/>
      <c r="B238" s="91"/>
      <c r="C238" s="92"/>
      <c r="D238" s="82"/>
      <c r="E238" s="82"/>
      <c r="F238" s="96"/>
    </row>
    <row r="239" spans="1:6" ht="13.5">
      <c r="A239" s="86"/>
      <c r="B239" s="91"/>
      <c r="C239" s="92"/>
      <c r="D239" s="82"/>
      <c r="E239" s="82"/>
      <c r="F239" s="96"/>
    </row>
    <row r="240" spans="1:6" ht="13.5">
      <c r="A240" s="86"/>
      <c r="B240" s="91"/>
      <c r="C240" s="92"/>
      <c r="D240" s="82"/>
      <c r="E240" s="82"/>
      <c r="F240" s="96"/>
    </row>
    <row r="241" spans="1:6" ht="13.5">
      <c r="A241" s="86"/>
      <c r="B241" s="91"/>
      <c r="C241" s="92"/>
      <c r="D241" s="82"/>
      <c r="E241" s="82"/>
      <c r="F241" s="96"/>
    </row>
    <row r="242" spans="1:6" ht="13.5">
      <c r="A242" s="86"/>
      <c r="B242" s="91"/>
      <c r="C242" s="92"/>
      <c r="D242" s="82"/>
      <c r="E242" s="82"/>
      <c r="F242" s="96"/>
    </row>
    <row r="243" spans="1:6" ht="13.5">
      <c r="A243" s="86"/>
      <c r="B243" s="91"/>
      <c r="C243" s="92"/>
      <c r="D243" s="82"/>
      <c r="E243" s="82"/>
      <c r="F243" s="96"/>
    </row>
    <row r="244" spans="1:6" ht="13.5">
      <c r="A244" s="86"/>
      <c r="B244" s="91"/>
      <c r="C244" s="92"/>
      <c r="D244" s="82"/>
      <c r="E244" s="82"/>
      <c r="F244" s="96"/>
    </row>
    <row r="245" spans="1:6" ht="13.5">
      <c r="A245" s="86"/>
      <c r="B245" s="91"/>
      <c r="C245" s="92"/>
      <c r="D245" s="82"/>
      <c r="E245" s="82"/>
      <c r="F245" s="96"/>
    </row>
    <row r="246" spans="1:6" ht="13.5">
      <c r="A246" s="86"/>
      <c r="B246" s="91"/>
      <c r="C246" s="92"/>
      <c r="D246" s="82"/>
      <c r="E246" s="82"/>
      <c r="F246" s="96"/>
    </row>
    <row r="247" spans="1:6" ht="13.5">
      <c r="A247" s="86"/>
      <c r="B247" s="91"/>
      <c r="C247" s="92"/>
      <c r="D247" s="82"/>
      <c r="E247" s="82"/>
      <c r="F247" s="96"/>
    </row>
    <row r="248" spans="1:6" ht="13.5">
      <c r="A248" s="86"/>
      <c r="B248" s="91"/>
      <c r="C248" s="92"/>
      <c r="D248" s="82"/>
      <c r="E248" s="82"/>
      <c r="F248" s="96"/>
    </row>
    <row r="249" spans="1:6" ht="13.5">
      <c r="A249" s="86"/>
      <c r="B249" s="91"/>
      <c r="C249" s="92"/>
      <c r="D249" s="82"/>
      <c r="E249" s="82"/>
      <c r="F249" s="96"/>
    </row>
    <row r="250" spans="1:6" ht="13.5">
      <c r="A250" s="86"/>
      <c r="B250" s="91"/>
      <c r="C250" s="92"/>
      <c r="D250" s="82"/>
      <c r="E250" s="82"/>
      <c r="F250" s="96"/>
    </row>
    <row r="251" spans="1:6" ht="13.5">
      <c r="A251" s="86"/>
      <c r="B251" s="91"/>
      <c r="C251" s="92"/>
      <c r="D251" s="82"/>
      <c r="E251" s="82"/>
      <c r="F251" s="96"/>
    </row>
    <row r="252" spans="1:6" ht="13.5">
      <c r="A252" s="86"/>
      <c r="B252" s="91"/>
      <c r="C252" s="92"/>
      <c r="D252" s="82"/>
      <c r="E252" s="82"/>
      <c r="F252" s="96"/>
    </row>
    <row r="253" spans="1:6" ht="13.5">
      <c r="A253" s="86"/>
      <c r="B253" s="91"/>
      <c r="C253" s="92"/>
      <c r="D253" s="82"/>
      <c r="E253" s="82"/>
      <c r="F253" s="96"/>
    </row>
    <row r="254" spans="1:6" ht="13.5">
      <c r="A254" s="86"/>
      <c r="B254" s="91"/>
      <c r="C254" s="92"/>
      <c r="D254" s="82"/>
      <c r="E254" s="82"/>
      <c r="F254" s="96"/>
    </row>
    <row r="255" spans="1:6" ht="13.5">
      <c r="A255" s="86"/>
      <c r="B255" s="91"/>
      <c r="C255" s="92"/>
      <c r="D255" s="82"/>
      <c r="E255" s="82"/>
      <c r="F255" s="96"/>
    </row>
    <row r="256" spans="1:6" ht="13.5">
      <c r="A256" s="86"/>
      <c r="B256" s="91"/>
      <c r="C256" s="92"/>
      <c r="D256" s="82"/>
      <c r="E256" s="82"/>
      <c r="F256" s="96"/>
    </row>
    <row r="257" spans="1:6" ht="13.5">
      <c r="A257" s="86"/>
      <c r="B257" s="91"/>
      <c r="C257" s="92"/>
      <c r="D257" s="82"/>
      <c r="E257" s="82"/>
      <c r="F257" s="96"/>
    </row>
    <row r="258" spans="1:6" ht="13.5">
      <c r="A258" s="86"/>
      <c r="B258" s="91"/>
      <c r="C258" s="92"/>
      <c r="D258" s="82"/>
      <c r="E258" s="82"/>
      <c r="F258" s="96"/>
    </row>
    <row r="259" spans="1:6" ht="13.5">
      <c r="A259" s="86"/>
      <c r="B259" s="91"/>
      <c r="C259" s="92"/>
      <c r="D259" s="82"/>
      <c r="E259" s="82"/>
      <c r="F259" s="96"/>
    </row>
    <row r="260" spans="1:6" ht="13.5">
      <c r="A260" s="86"/>
      <c r="B260" s="91"/>
      <c r="C260" s="92"/>
      <c r="D260" s="82"/>
      <c r="E260" s="82"/>
      <c r="F260" s="96"/>
    </row>
    <row r="261" spans="1:6" ht="13.5">
      <c r="A261" s="86"/>
      <c r="B261" s="91"/>
      <c r="C261" s="92"/>
      <c r="D261" s="82"/>
      <c r="E261" s="82"/>
      <c r="F261" s="96"/>
    </row>
    <row r="262" spans="1:6" ht="13.5">
      <c r="A262" s="86"/>
      <c r="B262" s="91"/>
      <c r="C262" s="92"/>
      <c r="D262" s="82"/>
      <c r="E262" s="82"/>
      <c r="F262" s="96"/>
    </row>
    <row r="263" spans="1:6" ht="13.5">
      <c r="A263" s="86"/>
      <c r="B263" s="91"/>
      <c r="C263" s="92"/>
      <c r="D263" s="82"/>
      <c r="E263" s="82"/>
      <c r="F263" s="96"/>
    </row>
    <row r="264" spans="1:6" ht="13.5">
      <c r="A264" s="86"/>
      <c r="B264" s="91"/>
      <c r="C264" s="92"/>
      <c r="D264" s="82"/>
      <c r="E264" s="82"/>
      <c r="F264" s="96"/>
    </row>
    <row r="265" spans="1:6" ht="13.5">
      <c r="A265" s="86"/>
      <c r="B265" s="91"/>
      <c r="C265" s="92"/>
      <c r="D265" s="82"/>
      <c r="E265" s="82"/>
      <c r="F265" s="96"/>
    </row>
    <row r="266" spans="1:6" ht="13.5">
      <c r="A266" s="86"/>
      <c r="B266" s="91"/>
      <c r="C266" s="92"/>
      <c r="D266" s="82"/>
      <c r="E266" s="82"/>
      <c r="F266" s="96"/>
    </row>
    <row r="267" spans="1:6" ht="13.5">
      <c r="A267" s="86"/>
      <c r="B267" s="91"/>
      <c r="C267" s="92"/>
      <c r="D267" s="82"/>
      <c r="E267" s="82"/>
      <c r="F267" s="96"/>
    </row>
    <row r="268" spans="1:6" ht="13.5">
      <c r="A268" s="86"/>
      <c r="B268" s="91"/>
      <c r="C268" s="92"/>
      <c r="D268" s="82"/>
      <c r="E268" s="82"/>
      <c r="F268" s="96"/>
    </row>
    <row r="269" spans="1:6" ht="13.5">
      <c r="A269" s="86"/>
      <c r="B269" s="91"/>
      <c r="C269" s="92"/>
      <c r="D269" s="82"/>
      <c r="E269" s="82"/>
      <c r="F269" s="96"/>
    </row>
    <row r="270" spans="1:6" ht="13.5">
      <c r="A270" s="86"/>
      <c r="B270" s="91"/>
      <c r="C270" s="92"/>
      <c r="D270" s="82"/>
      <c r="E270" s="82"/>
      <c r="F270" s="96"/>
    </row>
    <row r="271" spans="1:6" ht="13.5">
      <c r="A271" s="86"/>
      <c r="B271" s="91"/>
      <c r="C271" s="92"/>
      <c r="D271" s="82"/>
      <c r="E271" s="82"/>
      <c r="F271" s="96"/>
    </row>
    <row r="272" spans="1:6" ht="13.5">
      <c r="A272" s="86"/>
      <c r="B272" s="91"/>
      <c r="C272" s="92"/>
      <c r="D272" s="82"/>
      <c r="E272" s="82"/>
      <c r="F272" s="96"/>
    </row>
    <row r="273" spans="1:6" ht="13.5">
      <c r="A273" s="86"/>
      <c r="B273" s="91"/>
      <c r="C273" s="92"/>
      <c r="D273" s="82"/>
      <c r="E273" s="82"/>
      <c r="F273" s="96"/>
    </row>
    <row r="274" spans="1:6" ht="13.5">
      <c r="A274" s="86"/>
      <c r="B274" s="91"/>
      <c r="C274" s="92"/>
      <c r="D274" s="82"/>
      <c r="E274" s="82"/>
      <c r="F274" s="96"/>
    </row>
    <row r="275" spans="1:6" ht="13.5">
      <c r="A275" s="86"/>
      <c r="B275" s="91"/>
      <c r="C275" s="92"/>
      <c r="D275" s="82"/>
      <c r="E275" s="82"/>
      <c r="F275" s="96"/>
    </row>
    <row r="276" spans="1:6" ht="13.5">
      <c r="A276" s="86"/>
      <c r="B276" s="91"/>
      <c r="C276" s="92"/>
      <c r="D276" s="82"/>
      <c r="E276" s="82"/>
      <c r="F276" s="96"/>
    </row>
    <row r="277" spans="1:6" ht="13.5">
      <c r="A277" s="86"/>
      <c r="B277" s="91"/>
      <c r="C277" s="92"/>
      <c r="D277" s="82"/>
      <c r="E277" s="82"/>
      <c r="F277" s="96"/>
    </row>
    <row r="278" spans="1:6" ht="13.5">
      <c r="A278" s="86"/>
      <c r="B278" s="91"/>
      <c r="C278" s="92"/>
      <c r="D278" s="82"/>
      <c r="E278" s="82"/>
      <c r="F278" s="96"/>
    </row>
    <row r="279" spans="1:6" ht="13.5">
      <c r="A279" s="86"/>
      <c r="B279" s="91"/>
      <c r="C279" s="92"/>
      <c r="D279" s="82"/>
      <c r="E279" s="82"/>
      <c r="F279" s="96"/>
    </row>
    <row r="280" spans="1:6" ht="13.5">
      <c r="A280" s="86"/>
      <c r="B280" s="91"/>
      <c r="C280" s="92"/>
      <c r="D280" s="82"/>
      <c r="E280" s="82"/>
      <c r="F280" s="96"/>
    </row>
    <row r="281" spans="1:6" ht="13.5">
      <c r="A281" s="86"/>
      <c r="B281" s="91"/>
      <c r="C281" s="92"/>
      <c r="D281" s="82"/>
      <c r="E281" s="82"/>
      <c r="F281" s="96"/>
    </row>
    <row r="282" spans="1:6" ht="13.5">
      <c r="A282" s="86"/>
      <c r="B282" s="91"/>
      <c r="C282" s="92"/>
      <c r="D282" s="82"/>
      <c r="E282" s="82"/>
      <c r="F282" s="96"/>
    </row>
    <row r="283" spans="1:6" ht="13.5">
      <c r="A283" s="86"/>
      <c r="B283" s="91"/>
      <c r="C283" s="92"/>
      <c r="D283" s="82"/>
      <c r="E283" s="82"/>
      <c r="F283" s="96"/>
    </row>
    <row r="284" spans="1:6" ht="13.5">
      <c r="A284" s="86"/>
      <c r="B284" s="91"/>
      <c r="C284" s="92"/>
      <c r="D284" s="82"/>
      <c r="E284" s="82"/>
      <c r="F284" s="96"/>
    </row>
    <row r="285" spans="1:6" ht="13.5">
      <c r="A285" s="86"/>
      <c r="B285" s="91"/>
      <c r="C285" s="92"/>
      <c r="D285" s="82"/>
      <c r="E285" s="82"/>
      <c r="F285" s="96"/>
    </row>
    <row r="286" spans="1:6" ht="13.5">
      <c r="A286" s="86"/>
      <c r="B286" s="91"/>
      <c r="C286" s="92"/>
      <c r="D286" s="82"/>
      <c r="E286" s="82"/>
      <c r="F286" s="96"/>
    </row>
    <row r="287" spans="1:6" ht="13.5">
      <c r="A287" s="86"/>
      <c r="B287" s="91"/>
      <c r="C287" s="92"/>
      <c r="D287" s="82"/>
      <c r="E287" s="82"/>
      <c r="F287" s="96"/>
    </row>
    <row r="288" spans="1:6" ht="13.5">
      <c r="A288" s="86"/>
      <c r="B288" s="91"/>
      <c r="C288" s="92"/>
      <c r="D288" s="82"/>
      <c r="E288" s="82"/>
      <c r="F288" s="96"/>
    </row>
    <row r="289" spans="1:6" ht="13.5">
      <c r="A289" s="86"/>
      <c r="B289" s="91"/>
      <c r="C289" s="92"/>
      <c r="D289" s="82"/>
      <c r="E289" s="82"/>
      <c r="F289" s="96"/>
    </row>
    <row r="290" spans="1:6" ht="13.5">
      <c r="A290" s="86"/>
      <c r="B290" s="91"/>
      <c r="C290" s="92"/>
      <c r="D290" s="82"/>
      <c r="E290" s="82"/>
      <c r="F290" s="96"/>
    </row>
    <row r="291" spans="1:6" ht="13.5">
      <c r="A291" s="86"/>
      <c r="B291" s="91"/>
      <c r="C291" s="92"/>
      <c r="D291" s="82"/>
      <c r="E291" s="82"/>
      <c r="F291" s="96"/>
    </row>
    <row r="292" spans="1:6" ht="13.5">
      <c r="A292" s="86"/>
      <c r="B292" s="91"/>
      <c r="C292" s="92"/>
      <c r="D292" s="82"/>
      <c r="E292" s="82"/>
      <c r="F292" s="96"/>
    </row>
    <row r="293" spans="1:6" ht="13.5">
      <c r="A293" s="86"/>
      <c r="B293" s="91"/>
      <c r="C293" s="92"/>
      <c r="D293" s="82"/>
      <c r="E293" s="82"/>
      <c r="F293" s="96"/>
    </row>
    <row r="294" spans="1:6" ht="13.5">
      <c r="A294" s="86"/>
      <c r="B294" s="91"/>
      <c r="C294" s="92"/>
      <c r="D294" s="82"/>
      <c r="E294" s="82"/>
      <c r="F294" s="96"/>
    </row>
    <row r="295" spans="1:6" ht="13.5">
      <c r="A295" s="86"/>
      <c r="B295" s="91"/>
      <c r="C295" s="92"/>
      <c r="D295" s="82"/>
      <c r="E295" s="82"/>
      <c r="F295" s="96"/>
    </row>
    <row r="296" spans="1:6" ht="13.5">
      <c r="A296" s="86"/>
      <c r="B296" s="91"/>
      <c r="C296" s="92"/>
      <c r="D296" s="82"/>
      <c r="E296" s="82"/>
      <c r="F296" s="96"/>
    </row>
    <row r="297" spans="1:6" ht="13.5">
      <c r="A297" s="86"/>
      <c r="B297" s="91"/>
      <c r="C297" s="92"/>
      <c r="D297" s="82"/>
      <c r="E297" s="82"/>
      <c r="F297" s="96"/>
    </row>
    <row r="298" spans="1:6" ht="13.5">
      <c r="A298" s="86"/>
      <c r="B298" s="91"/>
      <c r="C298" s="92"/>
      <c r="D298" s="82"/>
      <c r="E298" s="82"/>
      <c r="F298" s="96"/>
    </row>
    <row r="299" spans="1:6" ht="13.5">
      <c r="A299" s="86"/>
      <c r="B299" s="91"/>
      <c r="C299" s="92"/>
      <c r="D299" s="82"/>
      <c r="E299" s="82"/>
      <c r="F299" s="96"/>
    </row>
    <row r="300" spans="1:6" ht="13.5">
      <c r="A300" s="86"/>
      <c r="B300" s="91"/>
      <c r="C300" s="92"/>
      <c r="D300" s="82"/>
      <c r="E300" s="82"/>
      <c r="F300" s="96"/>
    </row>
    <row r="301" spans="1:6" ht="13.5">
      <c r="A301" s="86"/>
      <c r="B301" s="91"/>
      <c r="C301" s="92"/>
      <c r="D301" s="82"/>
      <c r="E301" s="82"/>
      <c r="F301" s="96"/>
    </row>
    <row r="302" spans="1:6" ht="13.5">
      <c r="A302" s="86"/>
      <c r="B302" s="91"/>
      <c r="C302" s="92"/>
      <c r="D302" s="82"/>
      <c r="E302" s="82"/>
      <c r="F302" s="96"/>
    </row>
    <row r="303" spans="1:6" ht="13.5">
      <c r="A303" s="86"/>
      <c r="B303" s="91"/>
      <c r="C303" s="92"/>
      <c r="D303" s="82"/>
      <c r="E303" s="82"/>
      <c r="F303" s="96"/>
    </row>
    <row r="304" spans="1:6" ht="13.5">
      <c r="A304" s="86"/>
      <c r="B304" s="91"/>
      <c r="C304" s="92"/>
      <c r="D304" s="82"/>
      <c r="E304" s="82"/>
      <c r="F304" s="96"/>
    </row>
    <row r="305" spans="1:6" ht="13.5">
      <c r="A305" s="86"/>
      <c r="B305" s="91"/>
      <c r="C305" s="92"/>
      <c r="D305" s="82"/>
      <c r="E305" s="82"/>
      <c r="F305" s="96"/>
    </row>
    <row r="306" spans="1:6" ht="13.5">
      <c r="A306" s="86"/>
      <c r="B306" s="91"/>
      <c r="C306" s="92"/>
      <c r="D306" s="82"/>
      <c r="E306" s="82"/>
      <c r="F306" s="96"/>
    </row>
    <row r="307" spans="1:6" ht="13.5">
      <c r="A307" s="86"/>
      <c r="B307" s="91"/>
      <c r="C307" s="92"/>
      <c r="D307" s="82"/>
      <c r="E307" s="82"/>
      <c r="F307" s="96"/>
    </row>
    <row r="308" spans="1:6" ht="13.5">
      <c r="A308" s="86"/>
      <c r="B308" s="91"/>
      <c r="C308" s="92"/>
      <c r="D308" s="82"/>
      <c r="E308" s="82"/>
      <c r="F308" s="96"/>
    </row>
    <row r="309" spans="1:6" ht="13.5">
      <c r="A309" s="86"/>
      <c r="B309" s="91"/>
      <c r="C309" s="92"/>
      <c r="D309" s="82"/>
      <c r="E309" s="82"/>
      <c r="F309" s="96"/>
    </row>
    <row r="310" spans="1:6" ht="13.5">
      <c r="A310" s="86"/>
      <c r="B310" s="91"/>
      <c r="C310" s="92"/>
      <c r="D310" s="82"/>
      <c r="E310" s="82"/>
      <c r="F310" s="96"/>
    </row>
    <row r="311" spans="1:6" ht="13.5">
      <c r="A311" s="86"/>
      <c r="B311" s="91"/>
      <c r="C311" s="92"/>
      <c r="D311" s="82"/>
      <c r="E311" s="82"/>
      <c r="F311" s="96"/>
    </row>
    <row r="312" spans="1:6" ht="13.5">
      <c r="A312" s="86"/>
      <c r="B312" s="91"/>
      <c r="C312" s="92"/>
      <c r="D312" s="82"/>
      <c r="E312" s="82"/>
      <c r="F312" s="96"/>
    </row>
    <row r="313" spans="1:6" ht="13.5">
      <c r="A313" s="86"/>
      <c r="B313" s="91"/>
      <c r="C313" s="92"/>
      <c r="D313" s="82"/>
      <c r="E313" s="82"/>
      <c r="F313" s="96"/>
    </row>
    <row r="314" spans="1:6" ht="13.5">
      <c r="A314" s="86"/>
      <c r="B314" s="91"/>
      <c r="C314" s="92"/>
      <c r="D314" s="82"/>
      <c r="E314" s="82"/>
      <c r="F314" s="96"/>
    </row>
    <row r="315" spans="1:6" ht="13.5">
      <c r="A315" s="86"/>
      <c r="B315" s="91"/>
      <c r="C315" s="92"/>
      <c r="D315" s="82"/>
      <c r="E315" s="82"/>
      <c r="F315" s="96"/>
    </row>
    <row r="316" spans="1:6" ht="13.5">
      <c r="A316" s="86"/>
      <c r="B316" s="91"/>
      <c r="C316" s="92"/>
      <c r="D316" s="82"/>
      <c r="E316" s="82"/>
      <c r="F316" s="96"/>
    </row>
    <row r="317" spans="1:6" ht="13.5">
      <c r="A317" s="86"/>
      <c r="B317" s="91"/>
      <c r="C317" s="92"/>
      <c r="D317" s="82"/>
      <c r="E317" s="82"/>
      <c r="F317" s="96"/>
    </row>
    <row r="318" spans="1:6" ht="13.5">
      <c r="A318" s="86"/>
      <c r="B318" s="91"/>
      <c r="C318" s="92"/>
      <c r="D318" s="82"/>
      <c r="E318" s="82"/>
      <c r="F318" s="96"/>
    </row>
    <row r="319" spans="1:6" ht="13.5">
      <c r="A319" s="86"/>
      <c r="B319" s="91"/>
      <c r="C319" s="92"/>
      <c r="D319" s="82"/>
      <c r="E319" s="82"/>
      <c r="F319" s="96"/>
    </row>
    <row r="320" spans="1:6" ht="13.5">
      <c r="A320" s="86"/>
      <c r="B320" s="91"/>
      <c r="C320" s="92"/>
      <c r="D320" s="82"/>
      <c r="E320" s="82"/>
      <c r="F320" s="96"/>
    </row>
    <row r="321" spans="1:6" ht="13.5">
      <c r="A321" s="86"/>
      <c r="B321" s="91"/>
      <c r="C321" s="92"/>
      <c r="D321" s="82"/>
      <c r="E321" s="82"/>
      <c r="F321" s="96"/>
    </row>
    <row r="322" spans="1:6" ht="13.5">
      <c r="A322" s="86"/>
      <c r="B322" s="91"/>
      <c r="C322" s="92"/>
      <c r="D322" s="82"/>
      <c r="E322" s="82"/>
      <c r="F322" s="96"/>
    </row>
    <row r="323" spans="1:6" ht="13.5">
      <c r="A323" s="86"/>
      <c r="B323" s="91"/>
      <c r="C323" s="92"/>
      <c r="D323" s="82"/>
      <c r="E323" s="82"/>
      <c r="F323" s="96"/>
    </row>
    <row r="324" spans="1:6" ht="13.5">
      <c r="A324" s="86"/>
      <c r="B324" s="91"/>
      <c r="C324" s="92"/>
      <c r="D324" s="82"/>
      <c r="E324" s="82"/>
      <c r="F324" s="96"/>
    </row>
    <row r="325" spans="1:6" ht="13.5">
      <c r="A325" s="86"/>
      <c r="B325" s="91"/>
      <c r="C325" s="92"/>
      <c r="D325" s="82"/>
      <c r="E325" s="82"/>
      <c r="F325" s="96"/>
    </row>
    <row r="326" spans="1:6" ht="13.5">
      <c r="A326" s="86"/>
      <c r="B326" s="91"/>
      <c r="C326" s="92"/>
      <c r="D326" s="82"/>
      <c r="E326" s="82"/>
      <c r="F326" s="96"/>
    </row>
    <row r="327" spans="1:6" ht="13.5">
      <c r="A327" s="86"/>
      <c r="B327" s="91"/>
      <c r="C327" s="92"/>
      <c r="D327" s="82"/>
      <c r="E327" s="82"/>
      <c r="F327" s="96"/>
    </row>
    <row r="328" spans="1:6" ht="13.5">
      <c r="A328" s="86"/>
      <c r="B328" s="91"/>
      <c r="C328" s="92"/>
      <c r="D328" s="82"/>
      <c r="E328" s="82"/>
      <c r="F328" s="96"/>
    </row>
    <row r="329" spans="1:6" ht="13.5">
      <c r="A329" s="86"/>
      <c r="B329" s="91"/>
      <c r="C329" s="92"/>
      <c r="D329" s="82"/>
      <c r="E329" s="82"/>
      <c r="F329" s="96"/>
    </row>
    <row r="330" spans="1:6" ht="13.5">
      <c r="A330" s="86"/>
      <c r="B330" s="91"/>
      <c r="C330" s="92"/>
      <c r="D330" s="82"/>
      <c r="E330" s="82"/>
      <c r="F330" s="96"/>
    </row>
    <row r="331" spans="1:6" ht="13.5">
      <c r="A331" s="86"/>
      <c r="B331" s="91"/>
      <c r="C331" s="92"/>
      <c r="D331" s="82"/>
      <c r="E331" s="82"/>
      <c r="F331" s="96"/>
    </row>
    <row r="332" spans="1:6" ht="13.5">
      <c r="A332" s="86"/>
      <c r="B332" s="91"/>
      <c r="C332" s="92"/>
      <c r="D332" s="82"/>
      <c r="E332" s="82"/>
      <c r="F332" s="96"/>
    </row>
    <row r="333" spans="1:6" ht="13.5">
      <c r="A333" s="86"/>
      <c r="B333" s="91"/>
      <c r="C333" s="92"/>
      <c r="D333" s="82"/>
      <c r="E333" s="82"/>
      <c r="F333" s="96"/>
    </row>
    <row r="334" spans="1:6" ht="13.5">
      <c r="A334" s="86"/>
      <c r="B334" s="91"/>
      <c r="C334" s="92"/>
      <c r="D334" s="82"/>
      <c r="E334" s="82"/>
      <c r="F334" s="96"/>
    </row>
    <row r="335" spans="1:6" ht="13.5">
      <c r="A335" s="86"/>
      <c r="B335" s="91"/>
      <c r="C335" s="92"/>
      <c r="D335" s="82"/>
      <c r="E335" s="82"/>
      <c r="F335" s="96"/>
    </row>
    <row r="336" spans="1:6" ht="13.5">
      <c r="A336" s="86"/>
      <c r="B336" s="91"/>
      <c r="C336" s="92"/>
      <c r="D336" s="82"/>
      <c r="E336" s="82"/>
      <c r="F336" s="96"/>
    </row>
    <row r="337" spans="1:6" ht="13.5">
      <c r="A337" s="86"/>
      <c r="B337" s="91"/>
      <c r="C337" s="92"/>
      <c r="D337" s="82"/>
      <c r="E337" s="82"/>
      <c r="F337" s="96"/>
    </row>
    <row r="338" spans="1:6" ht="13.5">
      <c r="A338" s="86"/>
      <c r="B338" s="91"/>
      <c r="C338" s="92"/>
      <c r="D338" s="82"/>
      <c r="E338" s="82"/>
      <c r="F338" s="96"/>
    </row>
    <row r="339" spans="1:6" ht="13.5">
      <c r="A339" s="86"/>
      <c r="B339" s="91"/>
      <c r="C339" s="92"/>
      <c r="D339" s="82"/>
      <c r="E339" s="82"/>
      <c r="F339" s="96"/>
    </row>
    <row r="340" spans="1:6" ht="13.5">
      <c r="A340" s="86"/>
      <c r="B340" s="91"/>
      <c r="C340" s="92"/>
      <c r="D340" s="82"/>
      <c r="E340" s="82"/>
      <c r="F340" s="96"/>
    </row>
    <row r="341" spans="1:6" ht="13.5">
      <c r="A341" s="86"/>
      <c r="B341" s="91"/>
      <c r="C341" s="92"/>
      <c r="D341" s="82"/>
      <c r="E341" s="82"/>
      <c r="F341" s="96"/>
    </row>
    <row r="342" spans="1:6" ht="13.5">
      <c r="A342" s="86"/>
      <c r="B342" s="91"/>
      <c r="C342" s="92"/>
      <c r="D342" s="82"/>
      <c r="E342" s="82"/>
      <c r="F342" s="96"/>
    </row>
    <row r="343" spans="1:6" ht="13.5">
      <c r="A343" s="86"/>
      <c r="B343" s="91"/>
      <c r="C343" s="92"/>
      <c r="D343" s="82"/>
      <c r="E343" s="82"/>
      <c r="F343" s="96"/>
    </row>
    <row r="344" spans="1:6" ht="13.5">
      <c r="A344" s="86"/>
      <c r="B344" s="91"/>
      <c r="C344" s="92"/>
      <c r="D344" s="82"/>
      <c r="E344" s="82"/>
      <c r="F344" s="96"/>
    </row>
    <row r="345" spans="1:6" ht="13.5">
      <c r="A345" s="86"/>
      <c r="B345" s="91"/>
      <c r="C345" s="92"/>
      <c r="D345" s="82"/>
      <c r="E345" s="82"/>
      <c r="F345" s="96"/>
    </row>
    <row r="346" spans="1:6" ht="13.5">
      <c r="A346" s="86"/>
      <c r="B346" s="91"/>
      <c r="C346" s="92"/>
      <c r="D346" s="82"/>
      <c r="E346" s="82"/>
      <c r="F346" s="96"/>
    </row>
    <row r="347" spans="1:6" ht="13.5">
      <c r="A347" s="86"/>
      <c r="B347" s="91"/>
      <c r="C347" s="92"/>
      <c r="D347" s="82"/>
      <c r="E347" s="82"/>
      <c r="F347" s="96"/>
    </row>
    <row r="348" spans="1:6" ht="13.5">
      <c r="A348" s="86"/>
      <c r="B348" s="91"/>
      <c r="C348" s="92"/>
      <c r="D348" s="82"/>
      <c r="E348" s="82"/>
      <c r="F348" s="96"/>
    </row>
    <row r="349" spans="1:6" ht="13.5">
      <c r="A349" s="86"/>
      <c r="B349" s="91"/>
      <c r="C349" s="92"/>
      <c r="D349" s="82"/>
      <c r="E349" s="82"/>
      <c r="F349" s="96"/>
    </row>
    <row r="350" spans="1:6" ht="13.5">
      <c r="A350" s="86"/>
      <c r="B350" s="91"/>
      <c r="C350" s="92"/>
      <c r="D350" s="82"/>
      <c r="E350" s="82"/>
      <c r="F350" s="96"/>
    </row>
    <row r="351" spans="1:6" ht="13.5">
      <c r="A351" s="86"/>
      <c r="B351" s="91"/>
      <c r="C351" s="92"/>
      <c r="D351" s="82"/>
      <c r="E351" s="82"/>
      <c r="F351" s="96"/>
    </row>
    <row r="352" spans="1:6" ht="13.5">
      <c r="A352" s="86"/>
      <c r="B352" s="91"/>
      <c r="C352" s="92"/>
      <c r="D352" s="82"/>
      <c r="E352" s="82"/>
      <c r="F352" s="96"/>
    </row>
    <row r="353" spans="1:6" ht="13.5">
      <c r="A353" s="86"/>
      <c r="B353" s="91"/>
      <c r="C353" s="92"/>
      <c r="D353" s="82"/>
      <c r="E353" s="82"/>
      <c r="F353" s="96"/>
    </row>
    <row r="354" spans="1:6" ht="13.5">
      <c r="A354" s="86"/>
      <c r="B354" s="91"/>
      <c r="C354" s="92"/>
      <c r="D354" s="82"/>
      <c r="E354" s="82"/>
      <c r="F354" s="96"/>
    </row>
    <row r="355" spans="1:6" ht="13.5">
      <c r="A355" s="86"/>
      <c r="B355" s="91"/>
      <c r="C355" s="92"/>
      <c r="D355" s="82"/>
      <c r="E355" s="82"/>
      <c r="F355" s="96"/>
    </row>
    <row r="356" spans="1:6" ht="13.5">
      <c r="A356" s="86"/>
      <c r="B356" s="91"/>
      <c r="C356" s="92"/>
      <c r="D356" s="82"/>
      <c r="E356" s="82"/>
      <c r="F356" s="96"/>
    </row>
    <row r="357" spans="1:6" ht="13.5">
      <c r="A357" s="86"/>
      <c r="B357" s="91"/>
      <c r="C357" s="92"/>
      <c r="D357" s="82"/>
      <c r="E357" s="82"/>
      <c r="F357" s="96"/>
    </row>
    <row r="358" spans="1:6" ht="13.5">
      <c r="A358" s="86"/>
      <c r="B358" s="91"/>
      <c r="C358" s="92"/>
      <c r="D358" s="82"/>
      <c r="E358" s="82"/>
      <c r="F358" s="96"/>
    </row>
    <row r="359" spans="1:6" ht="13.5">
      <c r="A359" s="86"/>
      <c r="B359" s="91"/>
      <c r="C359" s="92"/>
      <c r="D359" s="82"/>
      <c r="E359" s="82"/>
      <c r="F359" s="96"/>
    </row>
    <row r="360" spans="1:6" ht="13.5">
      <c r="A360" s="86"/>
      <c r="B360" s="91"/>
      <c r="C360" s="92"/>
      <c r="D360" s="82"/>
      <c r="E360" s="82"/>
      <c r="F360" s="96"/>
    </row>
    <row r="361" spans="1:6" ht="13.5">
      <c r="A361" s="86"/>
      <c r="B361" s="91"/>
      <c r="C361" s="92"/>
      <c r="D361" s="82"/>
      <c r="E361" s="82"/>
      <c r="F361" s="96"/>
    </row>
    <row r="362" spans="1:6" ht="13.5">
      <c r="A362" s="86"/>
      <c r="B362" s="91"/>
      <c r="C362" s="92"/>
      <c r="D362" s="82"/>
      <c r="E362" s="82"/>
      <c r="F362" s="96"/>
    </row>
    <row r="363" spans="1:6" ht="13.5">
      <c r="A363" s="86"/>
      <c r="B363" s="91"/>
      <c r="C363" s="92"/>
      <c r="D363" s="82"/>
      <c r="E363" s="82"/>
      <c r="F363" s="96"/>
    </row>
    <row r="364" spans="1:6" ht="13.5">
      <c r="A364" s="86"/>
      <c r="B364" s="91"/>
      <c r="C364" s="92"/>
      <c r="D364" s="82"/>
      <c r="E364" s="82"/>
      <c r="F364" s="96"/>
    </row>
    <row r="365" spans="1:6" ht="13.5">
      <c r="A365" s="86"/>
      <c r="B365" s="91"/>
      <c r="C365" s="92"/>
      <c r="D365" s="82"/>
      <c r="E365" s="82"/>
      <c r="F365" s="96"/>
    </row>
    <row r="366" spans="1:6" ht="13.5">
      <c r="A366" s="86"/>
      <c r="B366" s="91"/>
      <c r="C366" s="92"/>
      <c r="D366" s="82"/>
      <c r="E366" s="82"/>
      <c r="F366" s="96"/>
    </row>
    <row r="367" spans="1:6" ht="13.5">
      <c r="A367" s="86"/>
      <c r="B367" s="91"/>
      <c r="C367" s="92"/>
      <c r="D367" s="82"/>
      <c r="E367" s="82"/>
      <c r="F367" s="96"/>
    </row>
    <row r="368" spans="1:6" ht="13.5">
      <c r="A368" s="86"/>
      <c r="B368" s="91"/>
      <c r="C368" s="92"/>
      <c r="D368" s="82"/>
      <c r="E368" s="82"/>
      <c r="F368" s="96"/>
    </row>
    <row r="369" spans="1:6" ht="13.5">
      <c r="A369" s="86"/>
      <c r="B369" s="91"/>
      <c r="C369" s="92"/>
      <c r="D369" s="82"/>
      <c r="E369" s="82"/>
      <c r="F369" s="96"/>
    </row>
    <row r="370" spans="1:6" ht="13.5">
      <c r="A370" s="86"/>
      <c r="B370" s="91"/>
      <c r="C370" s="92"/>
      <c r="D370" s="82"/>
      <c r="E370" s="82"/>
      <c r="F370" s="96"/>
    </row>
    <row r="371" spans="1:6" ht="13.5">
      <c r="A371" s="86"/>
      <c r="B371" s="91"/>
      <c r="C371" s="92"/>
      <c r="D371" s="82"/>
      <c r="E371" s="82"/>
      <c r="F371" s="96"/>
    </row>
    <row r="372" spans="1:6" ht="13.5">
      <c r="A372" s="86"/>
      <c r="B372" s="91"/>
      <c r="C372" s="92"/>
      <c r="D372" s="82"/>
      <c r="E372" s="82"/>
      <c r="F372" s="96"/>
    </row>
    <row r="373" spans="1:6" ht="13.5">
      <c r="A373" s="86"/>
      <c r="B373" s="91"/>
      <c r="C373" s="92"/>
      <c r="D373" s="82"/>
      <c r="E373" s="82"/>
      <c r="F373" s="96"/>
    </row>
    <row r="374" spans="1:6" ht="13.5">
      <c r="A374" s="86"/>
      <c r="B374" s="91"/>
      <c r="C374" s="92"/>
      <c r="D374" s="82"/>
      <c r="E374" s="82"/>
      <c r="F374" s="96"/>
    </row>
    <row r="375" spans="1:6" ht="13.5">
      <c r="A375" s="86"/>
      <c r="B375" s="91"/>
      <c r="C375" s="92"/>
      <c r="D375" s="82"/>
      <c r="E375" s="82"/>
      <c r="F375" s="96"/>
    </row>
    <row r="376" spans="1:6" ht="13.5">
      <c r="A376" s="86"/>
      <c r="B376" s="91"/>
      <c r="C376" s="92"/>
      <c r="D376" s="82"/>
      <c r="E376" s="82"/>
      <c r="F376" s="96"/>
    </row>
    <row r="377" spans="1:6" ht="13.5">
      <c r="A377" s="86"/>
      <c r="B377" s="91"/>
      <c r="C377" s="92"/>
      <c r="D377" s="82"/>
      <c r="E377" s="82"/>
      <c r="F377" s="96"/>
    </row>
    <row r="378" spans="1:6" ht="13.5">
      <c r="A378" s="86"/>
      <c r="B378" s="91"/>
      <c r="C378" s="92"/>
      <c r="D378" s="82"/>
      <c r="E378" s="82"/>
      <c r="F378" s="96"/>
    </row>
    <row r="379" spans="1:6" ht="13.5">
      <c r="A379" s="86"/>
      <c r="B379" s="91"/>
      <c r="C379" s="92"/>
      <c r="D379" s="82"/>
      <c r="E379" s="82"/>
      <c r="F379" s="96"/>
    </row>
    <row r="380" spans="1:6" ht="13.5">
      <c r="A380" s="86"/>
      <c r="B380" s="91"/>
      <c r="C380" s="92"/>
      <c r="D380" s="82"/>
      <c r="E380" s="82"/>
      <c r="F380" s="96"/>
    </row>
    <row r="381" spans="1:6" ht="13.5">
      <c r="A381" s="86"/>
      <c r="B381" s="91"/>
      <c r="C381" s="92"/>
      <c r="D381" s="82"/>
      <c r="E381" s="82"/>
      <c r="F381" s="96"/>
    </row>
    <row r="382" spans="1:6" ht="13.5">
      <c r="A382" s="86"/>
      <c r="B382" s="91"/>
      <c r="C382" s="92"/>
      <c r="D382" s="82"/>
      <c r="E382" s="82"/>
      <c r="F382" s="96"/>
    </row>
    <row r="383" spans="1:6" ht="13.5">
      <c r="A383" s="86"/>
      <c r="B383" s="91"/>
      <c r="C383" s="92"/>
      <c r="D383" s="82"/>
      <c r="E383" s="82"/>
      <c r="F383" s="96"/>
    </row>
    <row r="384" spans="1:6" ht="13.5">
      <c r="A384" s="86"/>
      <c r="B384" s="91"/>
      <c r="C384" s="92"/>
      <c r="D384" s="82"/>
      <c r="E384" s="82"/>
      <c r="F384" s="96"/>
    </row>
    <row r="385" spans="1:6" ht="13.5">
      <c r="A385" s="86"/>
      <c r="B385" s="91"/>
      <c r="C385" s="92"/>
      <c r="D385" s="82"/>
      <c r="E385" s="82"/>
      <c r="F385" s="96"/>
    </row>
    <row r="386" spans="1:6" ht="13.5">
      <c r="A386" s="86"/>
      <c r="B386" s="91"/>
      <c r="C386" s="92"/>
      <c r="D386" s="82"/>
      <c r="E386" s="82"/>
      <c r="F386" s="96"/>
    </row>
    <row r="387" spans="1:6" ht="13.5">
      <c r="A387" s="86"/>
      <c r="B387" s="91"/>
      <c r="C387" s="92"/>
      <c r="D387" s="82"/>
      <c r="E387" s="82"/>
      <c r="F387" s="96"/>
    </row>
    <row r="388" spans="1:6" ht="13.5">
      <c r="A388" s="86"/>
      <c r="B388" s="91"/>
      <c r="C388" s="92"/>
      <c r="D388" s="82"/>
      <c r="E388" s="82"/>
      <c r="F388" s="96"/>
    </row>
    <row r="389" spans="1:6" ht="13.5">
      <c r="A389" s="86"/>
      <c r="B389" s="91"/>
      <c r="C389" s="92"/>
      <c r="D389" s="82"/>
      <c r="E389" s="82"/>
      <c r="F389" s="96"/>
    </row>
    <row r="390" spans="1:6" ht="13.5">
      <c r="A390" s="86"/>
      <c r="B390" s="91"/>
      <c r="C390" s="92"/>
      <c r="D390" s="82"/>
      <c r="E390" s="82"/>
      <c r="F390" s="96"/>
    </row>
    <row r="391" spans="1:6" ht="13.5">
      <c r="A391" s="86"/>
      <c r="B391" s="91"/>
      <c r="C391" s="92"/>
      <c r="D391" s="82"/>
      <c r="E391" s="82"/>
      <c r="F391" s="96"/>
    </row>
    <row r="392" spans="1:6" ht="13.5">
      <c r="A392" s="86"/>
      <c r="B392" s="91"/>
      <c r="C392" s="92"/>
      <c r="D392" s="82"/>
      <c r="E392" s="82"/>
      <c r="F392" s="96"/>
    </row>
    <row r="393" spans="1:6" ht="13.5">
      <c r="A393" s="86"/>
      <c r="B393" s="91"/>
      <c r="C393" s="92"/>
      <c r="D393" s="82"/>
      <c r="E393" s="82"/>
      <c r="F393" s="96"/>
    </row>
    <row r="394" spans="1:6" ht="13.5">
      <c r="A394" s="86"/>
      <c r="B394" s="91"/>
      <c r="C394" s="92"/>
      <c r="D394" s="82"/>
      <c r="E394" s="82"/>
      <c r="F394" s="96"/>
    </row>
    <row r="395" spans="1:6" ht="13.5">
      <c r="A395" s="86"/>
      <c r="B395" s="91"/>
      <c r="C395" s="92"/>
      <c r="D395" s="82"/>
      <c r="E395" s="82"/>
      <c r="F395" s="96"/>
    </row>
    <row r="396" spans="1:6" ht="13.5">
      <c r="A396" s="86"/>
      <c r="B396" s="91"/>
      <c r="C396" s="92"/>
      <c r="D396" s="82"/>
      <c r="E396" s="82"/>
      <c r="F396" s="96"/>
    </row>
    <row r="397" spans="1:6" ht="13.5">
      <c r="A397" s="86"/>
      <c r="B397" s="91"/>
      <c r="C397" s="92"/>
      <c r="D397" s="82"/>
      <c r="E397" s="82"/>
      <c r="F397" s="96"/>
    </row>
    <row r="398" spans="1:6" ht="13.5">
      <c r="A398" s="86"/>
      <c r="B398" s="91"/>
      <c r="C398" s="92"/>
      <c r="D398" s="82"/>
      <c r="E398" s="82"/>
      <c r="F398" s="96"/>
    </row>
    <row r="399" spans="1:6" ht="13.5">
      <c r="A399" s="86"/>
      <c r="B399" s="91"/>
      <c r="C399" s="92"/>
      <c r="D399" s="82"/>
      <c r="E399" s="82"/>
      <c r="F399" s="96"/>
    </row>
    <row r="400" spans="1:6" ht="13.5">
      <c r="A400" s="86"/>
      <c r="B400" s="91"/>
      <c r="C400" s="92"/>
      <c r="D400" s="82"/>
      <c r="E400" s="82"/>
      <c r="F400" s="96"/>
    </row>
    <row r="401" spans="1:6" ht="13.5">
      <c r="A401" s="86"/>
      <c r="B401" s="91"/>
      <c r="C401" s="92"/>
      <c r="D401" s="82"/>
      <c r="E401" s="82"/>
      <c r="F401" s="96"/>
    </row>
    <row r="402" spans="1:6" ht="13.5">
      <c r="A402" s="86"/>
      <c r="B402" s="91"/>
      <c r="C402" s="92"/>
      <c r="D402" s="82"/>
      <c r="E402" s="82"/>
      <c r="F402" s="96"/>
    </row>
    <row r="403" spans="1:6" ht="13.5">
      <c r="A403" s="86"/>
      <c r="B403" s="91"/>
      <c r="C403" s="92"/>
      <c r="D403" s="82"/>
      <c r="E403" s="82"/>
      <c r="F403" s="96"/>
    </row>
    <row r="404" spans="1:6" ht="13.5">
      <c r="A404" s="86"/>
      <c r="B404" s="91"/>
      <c r="C404" s="92"/>
      <c r="D404" s="82"/>
      <c r="E404" s="82"/>
      <c r="F404" s="96"/>
    </row>
    <row r="405" spans="1:6" ht="13.5">
      <c r="A405" s="86"/>
      <c r="B405" s="91"/>
      <c r="C405" s="92"/>
      <c r="D405" s="82"/>
      <c r="E405" s="82"/>
      <c r="F405" s="96"/>
    </row>
    <row r="406" spans="1:6" ht="13.5">
      <c r="A406" s="86"/>
      <c r="B406" s="91"/>
      <c r="C406" s="92"/>
      <c r="D406" s="82"/>
      <c r="E406" s="82"/>
      <c r="F406" s="96"/>
    </row>
    <row r="407" spans="1:6" ht="13.5">
      <c r="A407" s="86"/>
      <c r="B407" s="91"/>
      <c r="C407" s="92"/>
      <c r="D407" s="82"/>
      <c r="E407" s="82"/>
      <c r="F407" s="96"/>
    </row>
    <row r="408" spans="1:6" ht="13.5">
      <c r="A408" s="86"/>
      <c r="B408" s="91"/>
      <c r="C408" s="92"/>
      <c r="D408" s="82"/>
      <c r="E408" s="82"/>
      <c r="F408" s="96"/>
    </row>
    <row r="409" spans="1:6" ht="13.5">
      <c r="A409" s="86"/>
      <c r="B409" s="91"/>
      <c r="C409" s="92"/>
      <c r="D409" s="82"/>
      <c r="E409" s="82"/>
      <c r="F409" s="96"/>
    </row>
    <row r="410" spans="1:6" ht="13.5">
      <c r="A410" s="86"/>
      <c r="B410" s="91"/>
      <c r="C410" s="92"/>
      <c r="D410" s="82"/>
      <c r="E410" s="82"/>
      <c r="F410" s="96"/>
    </row>
    <row r="411" spans="1:6" ht="13.5">
      <c r="A411" s="86"/>
      <c r="B411" s="91"/>
      <c r="C411" s="92"/>
      <c r="D411" s="82"/>
      <c r="E411" s="82"/>
      <c r="F411" s="96"/>
    </row>
    <row r="412" spans="1:6" ht="13.5">
      <c r="A412" s="86"/>
      <c r="B412" s="91"/>
      <c r="C412" s="92"/>
      <c r="D412" s="82"/>
      <c r="E412" s="82"/>
      <c r="F412" s="96"/>
    </row>
    <row r="413" spans="1:6" ht="13.5">
      <c r="A413" s="86"/>
      <c r="B413" s="91"/>
      <c r="C413" s="92"/>
      <c r="D413" s="82"/>
      <c r="E413" s="82"/>
      <c r="F413" s="96"/>
    </row>
    <row r="414" spans="1:6" ht="13.5">
      <c r="A414" s="86"/>
      <c r="B414" s="91"/>
      <c r="C414" s="92"/>
      <c r="D414" s="82"/>
      <c r="E414" s="82"/>
      <c r="F414" s="96"/>
    </row>
    <row r="415" spans="1:6" ht="13.5">
      <c r="A415" s="86"/>
      <c r="B415" s="91"/>
      <c r="C415" s="92"/>
      <c r="D415" s="82"/>
      <c r="E415" s="82"/>
      <c r="F415" s="96"/>
    </row>
    <row r="416" spans="1:6" ht="13.5">
      <c r="A416" s="86"/>
      <c r="B416" s="91"/>
      <c r="C416" s="92"/>
      <c r="D416" s="82"/>
      <c r="E416" s="82"/>
      <c r="F416" s="96"/>
    </row>
    <row r="417" spans="1:6" ht="13.5">
      <c r="A417" s="86"/>
      <c r="B417" s="91"/>
      <c r="C417" s="92"/>
      <c r="D417" s="82"/>
      <c r="E417" s="82"/>
      <c r="F417" s="96"/>
    </row>
    <row r="418" spans="1:6" ht="13.5">
      <c r="A418" s="86"/>
      <c r="B418" s="91"/>
      <c r="C418" s="92"/>
      <c r="D418" s="82"/>
      <c r="E418" s="82"/>
      <c r="F418" s="96"/>
    </row>
    <row r="419" spans="1:6" ht="13.5">
      <c r="A419" s="86"/>
      <c r="B419" s="91"/>
      <c r="C419" s="92"/>
      <c r="D419" s="82"/>
      <c r="E419" s="82"/>
      <c r="F419" s="96"/>
    </row>
    <row r="420" spans="1:6" ht="13.5">
      <c r="A420" s="86"/>
      <c r="B420" s="91"/>
      <c r="C420" s="92"/>
      <c r="D420" s="82"/>
      <c r="E420" s="82"/>
      <c r="F420" s="96"/>
    </row>
    <row r="421" spans="1:6" ht="13.5">
      <c r="A421" s="86"/>
      <c r="B421" s="91"/>
      <c r="C421" s="92"/>
      <c r="D421" s="82"/>
      <c r="E421" s="82"/>
      <c r="F421" s="96"/>
    </row>
    <row r="422" spans="1:6" ht="13.5">
      <c r="A422" s="86"/>
      <c r="B422" s="91"/>
      <c r="C422" s="92"/>
      <c r="D422" s="82"/>
      <c r="E422" s="82"/>
      <c r="F422" s="96"/>
    </row>
    <row r="423" spans="1:6" ht="13.5">
      <c r="A423" s="86"/>
      <c r="B423" s="91"/>
      <c r="C423" s="92"/>
      <c r="D423" s="82"/>
      <c r="E423" s="82"/>
      <c r="F423" s="96"/>
    </row>
    <row r="424" spans="1:6" ht="13.5">
      <c r="A424" s="86"/>
      <c r="B424" s="91"/>
      <c r="C424" s="92"/>
      <c r="D424" s="82"/>
      <c r="E424" s="82"/>
      <c r="F424" s="96"/>
    </row>
    <row r="425" spans="1:6" ht="13.5">
      <c r="A425" s="86"/>
      <c r="B425" s="91"/>
      <c r="C425" s="92"/>
      <c r="D425" s="82"/>
      <c r="E425" s="82"/>
      <c r="F425" s="96"/>
    </row>
    <row r="426" spans="1:6" ht="13.5">
      <c r="A426" s="86"/>
      <c r="B426" s="91"/>
      <c r="C426" s="92"/>
      <c r="D426" s="82"/>
      <c r="E426" s="82"/>
      <c r="F426" s="96"/>
    </row>
    <row r="427" spans="1:6" ht="13.5">
      <c r="A427" s="86"/>
      <c r="B427" s="91"/>
      <c r="C427" s="92"/>
      <c r="D427" s="82"/>
      <c r="E427" s="82"/>
      <c r="F427" s="96"/>
    </row>
    <row r="428" spans="1:6" ht="13.5">
      <c r="A428" s="86"/>
      <c r="B428" s="91"/>
      <c r="C428" s="92"/>
      <c r="D428" s="82"/>
      <c r="E428" s="82"/>
      <c r="F428" s="96"/>
    </row>
    <row r="429" spans="1:6" ht="13.5">
      <c r="A429" s="86"/>
      <c r="B429" s="91"/>
      <c r="C429" s="92"/>
      <c r="D429" s="82"/>
      <c r="E429" s="82"/>
      <c r="F429" s="96"/>
    </row>
    <row r="430" spans="1:6" ht="13.5">
      <c r="A430" s="86"/>
      <c r="B430" s="91"/>
      <c r="C430" s="92"/>
      <c r="D430" s="82"/>
      <c r="E430" s="82"/>
      <c r="F430" s="96"/>
    </row>
    <row r="431" spans="1:6" ht="13.5">
      <c r="A431" s="86"/>
      <c r="B431" s="91"/>
      <c r="C431" s="92"/>
      <c r="D431" s="82"/>
      <c r="E431" s="82"/>
      <c r="F431" s="96"/>
    </row>
    <row r="432" spans="1:6" ht="13.5">
      <c r="A432" s="86"/>
      <c r="B432" s="91"/>
      <c r="C432" s="92"/>
      <c r="D432" s="82"/>
      <c r="E432" s="82"/>
      <c r="F432" s="96"/>
    </row>
    <row r="433" spans="1:6" ht="13.5">
      <c r="A433" s="86"/>
      <c r="B433" s="91"/>
      <c r="C433" s="92"/>
      <c r="D433" s="82"/>
      <c r="E433" s="82"/>
      <c r="F433" s="96"/>
    </row>
    <row r="434" spans="1:6" ht="13.5">
      <c r="A434" s="86"/>
      <c r="B434" s="91"/>
      <c r="C434" s="92"/>
      <c r="D434" s="82"/>
      <c r="E434" s="82"/>
      <c r="F434" s="96"/>
    </row>
    <row r="435" spans="1:6" ht="13.5">
      <c r="A435" s="86"/>
      <c r="B435" s="91"/>
      <c r="C435" s="92"/>
      <c r="D435" s="82"/>
      <c r="E435" s="82"/>
      <c r="F435" s="96"/>
    </row>
    <row r="436" spans="1:6" ht="13.5">
      <c r="A436" s="86"/>
      <c r="B436" s="91"/>
      <c r="C436" s="92"/>
      <c r="D436" s="82"/>
      <c r="E436" s="82"/>
      <c r="F436" s="96"/>
    </row>
    <row r="437" spans="1:6" ht="13.5">
      <c r="A437" s="86"/>
      <c r="B437" s="91"/>
      <c r="C437" s="92"/>
      <c r="D437" s="82"/>
      <c r="E437" s="82"/>
      <c r="F437" s="96"/>
    </row>
    <row r="438" spans="1:6" ht="13.5">
      <c r="A438" s="86"/>
      <c r="B438" s="91"/>
      <c r="C438" s="92"/>
      <c r="D438" s="82"/>
      <c r="E438" s="82"/>
      <c r="F438" s="96"/>
    </row>
    <row r="439" spans="1:6" ht="13.5">
      <c r="A439" s="86"/>
      <c r="B439" s="91"/>
      <c r="C439" s="92"/>
      <c r="D439" s="82"/>
      <c r="E439" s="82"/>
      <c r="F439" s="96"/>
    </row>
    <row r="440" spans="1:6" ht="13.5">
      <c r="A440" s="86"/>
      <c r="B440" s="91"/>
      <c r="C440" s="92"/>
      <c r="D440" s="82"/>
      <c r="E440" s="82"/>
      <c r="F440" s="96"/>
    </row>
    <row r="441" spans="1:6" ht="13.5">
      <c r="A441" s="86"/>
      <c r="B441" s="91"/>
      <c r="C441" s="92"/>
      <c r="D441" s="82"/>
      <c r="E441" s="82"/>
      <c r="F441" s="96"/>
    </row>
    <row r="442" spans="1:6" ht="13.5">
      <c r="A442" s="86"/>
      <c r="B442" s="91"/>
      <c r="C442" s="92"/>
      <c r="D442" s="82"/>
      <c r="E442" s="82"/>
      <c r="F442" s="96"/>
    </row>
    <row r="443" spans="1:6" ht="13.5">
      <c r="A443" s="86"/>
      <c r="B443" s="91"/>
      <c r="C443" s="92"/>
      <c r="D443" s="82"/>
      <c r="E443" s="82"/>
      <c r="F443" s="96"/>
    </row>
    <row r="444" spans="1:6" ht="13.5">
      <c r="A444" s="86"/>
      <c r="B444" s="91"/>
      <c r="C444" s="92"/>
      <c r="D444" s="82"/>
      <c r="E444" s="82"/>
      <c r="F444" s="96"/>
    </row>
    <row r="445" spans="1:6" ht="13.5">
      <c r="A445" s="86"/>
      <c r="B445" s="91"/>
      <c r="C445" s="92"/>
      <c r="D445" s="82"/>
      <c r="E445" s="82"/>
      <c r="F445" s="96"/>
    </row>
    <row r="446" spans="1:6" ht="13.5">
      <c r="A446" s="86"/>
      <c r="B446" s="91"/>
      <c r="C446" s="92"/>
      <c r="D446" s="82"/>
      <c r="E446" s="82"/>
      <c r="F446" s="96"/>
    </row>
    <row r="447" spans="1:6" ht="13.5">
      <c r="A447" s="86"/>
      <c r="B447" s="91"/>
      <c r="C447" s="92"/>
      <c r="D447" s="82"/>
      <c r="E447" s="82"/>
      <c r="F447" s="96"/>
    </row>
    <row r="448" spans="1:6" ht="13.5">
      <c r="A448" s="86"/>
      <c r="B448" s="91"/>
      <c r="C448" s="92"/>
      <c r="D448" s="82"/>
      <c r="E448" s="82"/>
      <c r="F448" s="96"/>
    </row>
    <row r="449" spans="1:6" ht="13.5">
      <c r="A449" s="86"/>
      <c r="B449" s="91"/>
      <c r="C449" s="92"/>
      <c r="D449" s="82"/>
      <c r="E449" s="82"/>
      <c r="F449" s="96"/>
    </row>
    <row r="450" spans="1:6" ht="13.5">
      <c r="A450" s="86"/>
      <c r="B450" s="91"/>
      <c r="C450" s="92"/>
      <c r="D450" s="82"/>
      <c r="E450" s="82"/>
      <c r="F450" s="96"/>
    </row>
    <row r="451" spans="1:6" ht="13.5">
      <c r="A451" s="86"/>
      <c r="B451" s="91"/>
      <c r="C451" s="92"/>
      <c r="D451" s="82"/>
      <c r="E451" s="82"/>
      <c r="F451" s="96"/>
    </row>
    <row r="452" spans="1:6" ht="13.5">
      <c r="A452" s="86"/>
      <c r="B452" s="91"/>
      <c r="C452" s="92"/>
      <c r="D452" s="82"/>
      <c r="E452" s="82"/>
      <c r="F452" s="96"/>
    </row>
    <row r="453" spans="1:6" ht="13.5">
      <c r="A453" s="86"/>
      <c r="B453" s="91"/>
      <c r="C453" s="92"/>
      <c r="D453" s="82"/>
      <c r="E453" s="82"/>
      <c r="F453" s="96"/>
    </row>
    <row r="454" spans="1:6" ht="13.5">
      <c r="A454" s="86"/>
      <c r="B454" s="91"/>
      <c r="C454" s="92"/>
      <c r="D454" s="82"/>
      <c r="E454" s="82"/>
      <c r="F454" s="96"/>
    </row>
    <row r="455" spans="1:6" ht="13.5">
      <c r="A455" s="86"/>
      <c r="B455" s="91"/>
      <c r="C455" s="92"/>
      <c r="D455" s="82"/>
      <c r="E455" s="82"/>
      <c r="F455" s="96"/>
    </row>
    <row r="456" spans="1:6" ht="13.5">
      <c r="A456" s="86"/>
      <c r="B456" s="91"/>
      <c r="C456" s="92"/>
      <c r="D456" s="82"/>
      <c r="E456" s="82"/>
      <c r="F456" s="96"/>
    </row>
    <row r="457" spans="1:6" ht="13.5">
      <c r="A457" s="86"/>
      <c r="B457" s="91"/>
      <c r="C457" s="92"/>
      <c r="D457" s="82"/>
      <c r="E457" s="82"/>
      <c r="F457" s="96"/>
    </row>
    <row r="458" spans="1:6" ht="13.5">
      <c r="A458" s="86"/>
      <c r="B458" s="91"/>
      <c r="C458" s="92"/>
      <c r="D458" s="82"/>
      <c r="E458" s="82"/>
      <c r="F458" s="96"/>
    </row>
    <row r="459" spans="1:6" ht="13.5">
      <c r="A459" s="86"/>
      <c r="B459" s="91"/>
      <c r="C459" s="92"/>
      <c r="D459" s="82"/>
      <c r="E459" s="82"/>
      <c r="F459" s="96"/>
    </row>
    <row r="460" spans="1:6" ht="13.5">
      <c r="A460" s="86"/>
      <c r="B460" s="91"/>
      <c r="C460" s="92"/>
      <c r="D460" s="82"/>
      <c r="E460" s="82"/>
      <c r="F460" s="96"/>
    </row>
    <row r="461" spans="1:6" ht="13.5">
      <c r="A461" s="86"/>
      <c r="B461" s="91"/>
      <c r="C461" s="92"/>
      <c r="D461" s="82"/>
      <c r="E461" s="82"/>
      <c r="F461" s="96"/>
    </row>
    <row r="462" spans="1:6" ht="13.5">
      <c r="A462" s="86"/>
      <c r="B462" s="91"/>
      <c r="C462" s="92"/>
      <c r="D462" s="82"/>
      <c r="E462" s="82"/>
      <c r="F462" s="96"/>
    </row>
    <row r="463" spans="1:6" ht="13.5">
      <c r="A463" s="86"/>
      <c r="B463" s="91"/>
      <c r="C463" s="92"/>
      <c r="D463" s="82"/>
      <c r="E463" s="82"/>
      <c r="F463" s="96"/>
    </row>
    <row r="464" spans="1:6" ht="13.5">
      <c r="A464" s="86"/>
      <c r="B464" s="91"/>
      <c r="C464" s="92"/>
      <c r="D464" s="82"/>
      <c r="E464" s="82"/>
      <c r="F464" s="96"/>
    </row>
    <row r="465" spans="1:6" ht="13.5">
      <c r="A465" s="86"/>
      <c r="B465" s="91"/>
      <c r="C465" s="92"/>
      <c r="D465" s="82"/>
      <c r="E465" s="82"/>
      <c r="F465" s="96"/>
    </row>
    <row r="466" spans="1:6" ht="13.5">
      <c r="A466" s="86"/>
      <c r="B466" s="91"/>
      <c r="C466" s="92"/>
      <c r="D466" s="82"/>
      <c r="E466" s="82"/>
      <c r="F466" s="96"/>
    </row>
    <row r="467" spans="1:6" ht="13.5">
      <c r="A467" s="86"/>
      <c r="B467" s="91"/>
      <c r="C467" s="92"/>
      <c r="D467" s="82"/>
      <c r="E467" s="82"/>
      <c r="F467" s="96"/>
    </row>
    <row r="468" spans="1:6" ht="13.5">
      <c r="A468" s="86"/>
      <c r="B468" s="91"/>
      <c r="C468" s="92"/>
      <c r="D468" s="82"/>
      <c r="E468" s="82"/>
      <c r="F468" s="96"/>
    </row>
    <row r="469" spans="1:6" ht="13.5">
      <c r="A469" s="86"/>
      <c r="B469" s="91"/>
      <c r="C469" s="92"/>
      <c r="D469" s="82"/>
      <c r="E469" s="82"/>
      <c r="F469" s="96"/>
    </row>
    <row r="470" spans="1:6" ht="13.5">
      <c r="A470" s="86"/>
      <c r="B470" s="91"/>
      <c r="C470" s="92"/>
      <c r="D470" s="82"/>
      <c r="E470" s="82"/>
      <c r="F470" s="96"/>
    </row>
    <row r="471" spans="1:6" ht="13.5">
      <c r="A471" s="86"/>
      <c r="B471" s="91"/>
      <c r="C471" s="92"/>
      <c r="D471" s="82"/>
      <c r="E471" s="82"/>
      <c r="F471" s="96"/>
    </row>
    <row r="472" spans="1:6" ht="13.5">
      <c r="A472" s="86"/>
      <c r="B472" s="91"/>
      <c r="C472" s="92"/>
      <c r="D472" s="82"/>
      <c r="E472" s="82"/>
      <c r="F472" s="96"/>
    </row>
    <row r="473" spans="1:6" ht="13.5">
      <c r="A473" s="86"/>
      <c r="B473" s="91"/>
      <c r="C473" s="92"/>
      <c r="D473" s="82"/>
      <c r="E473" s="82"/>
      <c r="F473" s="96"/>
    </row>
    <row r="474" spans="1:6" ht="13.5">
      <c r="A474" s="86"/>
      <c r="B474" s="91"/>
      <c r="C474" s="92"/>
      <c r="D474" s="82"/>
      <c r="E474" s="82"/>
      <c r="F474" s="96"/>
    </row>
    <row r="475" spans="1:6" ht="13.5">
      <c r="A475" s="86"/>
      <c r="B475" s="91"/>
      <c r="C475" s="92"/>
      <c r="D475" s="82"/>
      <c r="E475" s="82"/>
      <c r="F475" s="96"/>
    </row>
    <row r="476" spans="1:6" ht="13.5">
      <c r="A476" s="86"/>
      <c r="B476" s="91"/>
      <c r="C476" s="92"/>
      <c r="D476" s="82"/>
      <c r="E476" s="82"/>
      <c r="F476" s="96"/>
    </row>
    <row r="477" spans="1:6" ht="13.5">
      <c r="A477" s="86"/>
      <c r="B477" s="91"/>
      <c r="C477" s="92"/>
      <c r="D477" s="82"/>
      <c r="E477" s="82"/>
      <c r="F477" s="96"/>
    </row>
    <row r="478" spans="1:6" ht="13.5">
      <c r="A478" s="86"/>
      <c r="B478" s="91"/>
      <c r="C478" s="92"/>
      <c r="D478" s="82"/>
      <c r="E478" s="82"/>
      <c r="F478" s="96"/>
    </row>
    <row r="479" spans="1:6" ht="13.5">
      <c r="A479" s="86"/>
      <c r="B479" s="91"/>
      <c r="C479" s="92"/>
      <c r="D479" s="82"/>
      <c r="E479" s="82"/>
      <c r="F479" s="96"/>
    </row>
    <row r="480" spans="1:6" ht="13.5">
      <c r="A480" s="86"/>
      <c r="B480" s="91"/>
      <c r="C480" s="92"/>
      <c r="D480" s="82"/>
      <c r="E480" s="82"/>
      <c r="F480" s="96"/>
    </row>
    <row r="481" spans="1:6" ht="13.5">
      <c r="A481" s="86"/>
      <c r="B481" s="91"/>
      <c r="C481" s="92"/>
      <c r="D481" s="82"/>
      <c r="E481" s="82"/>
      <c r="F481" s="96"/>
    </row>
    <row r="482" spans="1:6" ht="13.5">
      <c r="A482" s="86"/>
      <c r="B482" s="91"/>
      <c r="C482" s="92"/>
      <c r="D482" s="82"/>
      <c r="E482" s="82"/>
      <c r="F482" s="96"/>
    </row>
    <row r="483" spans="1:6" ht="13.5">
      <c r="A483" s="86"/>
      <c r="B483" s="91"/>
      <c r="C483" s="92"/>
      <c r="D483" s="82"/>
      <c r="E483" s="82"/>
      <c r="F483" s="96"/>
    </row>
    <row r="484" spans="1:6" ht="13.5">
      <c r="A484" s="86"/>
      <c r="B484" s="91"/>
      <c r="C484" s="92"/>
      <c r="D484" s="82"/>
      <c r="E484" s="82"/>
      <c r="F484" s="96"/>
    </row>
    <row r="485" spans="1:6" ht="13.5">
      <c r="A485" s="86"/>
      <c r="B485" s="91"/>
      <c r="C485" s="92"/>
      <c r="D485" s="82"/>
      <c r="E485" s="82"/>
      <c r="F485" s="96"/>
    </row>
    <row r="486" spans="1:6" ht="13.5">
      <c r="A486" s="86"/>
      <c r="B486" s="91"/>
      <c r="C486" s="92"/>
      <c r="D486" s="82"/>
      <c r="E486" s="82"/>
      <c r="F486" s="96"/>
    </row>
    <row r="487" spans="1:6" ht="13.5">
      <c r="A487" s="86"/>
      <c r="B487" s="91"/>
      <c r="C487" s="92"/>
      <c r="D487" s="82"/>
      <c r="E487" s="82"/>
      <c r="F487" s="96"/>
    </row>
    <row r="488" spans="1:6" ht="13.5">
      <c r="A488" s="86"/>
      <c r="B488" s="91"/>
      <c r="C488" s="92"/>
      <c r="D488" s="82"/>
      <c r="E488" s="82"/>
      <c r="F488" s="96"/>
    </row>
    <row r="489" spans="1:6" ht="13.5">
      <c r="A489" s="86"/>
      <c r="B489" s="91"/>
      <c r="C489" s="92"/>
      <c r="D489" s="82"/>
      <c r="E489" s="82"/>
      <c r="F489" s="96"/>
    </row>
    <row r="490" spans="1:6" ht="13.5">
      <c r="A490" s="86"/>
      <c r="B490" s="91"/>
      <c r="C490" s="92"/>
      <c r="D490" s="82"/>
      <c r="E490" s="82"/>
      <c r="F490" s="96"/>
    </row>
    <row r="491" spans="1:6" ht="13.5">
      <c r="A491" s="86"/>
      <c r="B491" s="91"/>
      <c r="C491" s="92"/>
      <c r="D491" s="82"/>
      <c r="E491" s="82"/>
      <c r="F491" s="96"/>
    </row>
    <row r="492" spans="1:6" ht="13.5">
      <c r="A492" s="86"/>
      <c r="B492" s="91"/>
      <c r="C492" s="92"/>
      <c r="D492" s="82"/>
      <c r="E492" s="82"/>
      <c r="F492" s="96"/>
    </row>
    <row r="493" spans="1:6" ht="13.5">
      <c r="A493" s="86"/>
      <c r="B493" s="91"/>
      <c r="C493" s="92"/>
      <c r="D493" s="82"/>
      <c r="E493" s="82"/>
      <c r="F493" s="96"/>
    </row>
    <row r="494" spans="1:6" ht="13.5">
      <c r="A494" s="86"/>
      <c r="B494" s="91"/>
      <c r="C494" s="92"/>
      <c r="D494" s="82"/>
      <c r="E494" s="82"/>
      <c r="F494" s="96"/>
    </row>
    <row r="495" spans="1:6" ht="13.5">
      <c r="A495" s="86"/>
      <c r="B495" s="91"/>
      <c r="C495" s="92"/>
      <c r="D495" s="82"/>
      <c r="E495" s="82"/>
      <c r="F495" s="96"/>
    </row>
    <row r="496" spans="1:6" ht="13.5">
      <c r="A496" s="86"/>
      <c r="B496" s="91"/>
      <c r="C496" s="92"/>
      <c r="D496" s="82"/>
      <c r="E496" s="82"/>
      <c r="F496" s="96"/>
    </row>
    <row r="497" spans="1:6" ht="13.5">
      <c r="A497" s="86"/>
      <c r="B497" s="91"/>
      <c r="C497" s="92"/>
      <c r="D497" s="82"/>
      <c r="E497" s="82"/>
      <c r="F497" s="96"/>
    </row>
    <row r="498" spans="1:6" ht="13.5">
      <c r="A498" s="86"/>
      <c r="B498" s="91"/>
      <c r="C498" s="92"/>
      <c r="D498" s="82"/>
      <c r="E498" s="82"/>
      <c r="F498" s="96"/>
    </row>
    <row r="499" spans="1:6" ht="13.5">
      <c r="A499" s="86"/>
      <c r="B499" s="91"/>
      <c r="C499" s="92"/>
      <c r="D499" s="82"/>
      <c r="E499" s="82"/>
      <c r="F499" s="96"/>
    </row>
    <row r="500" spans="1:6" ht="13.5">
      <c r="A500" s="86"/>
      <c r="B500" s="91"/>
      <c r="C500" s="92"/>
      <c r="D500" s="82"/>
      <c r="E500" s="82"/>
      <c r="F500" s="96"/>
    </row>
    <row r="501" spans="1:6" ht="13.5">
      <c r="A501" s="86"/>
      <c r="B501" s="91"/>
      <c r="C501" s="92"/>
      <c r="D501" s="82"/>
      <c r="E501" s="82"/>
      <c r="F501" s="96"/>
    </row>
    <row r="502" spans="1:6" ht="13.5">
      <c r="A502" s="86"/>
      <c r="B502" s="91"/>
      <c r="C502" s="92"/>
      <c r="D502" s="82"/>
      <c r="E502" s="82"/>
      <c r="F502" s="96"/>
    </row>
    <row r="503" spans="1:6" ht="13.5">
      <c r="A503" s="86"/>
      <c r="B503" s="91"/>
      <c r="C503" s="92"/>
      <c r="D503" s="82"/>
      <c r="E503" s="82"/>
      <c r="F503" s="96"/>
    </row>
    <row r="504" spans="1:6" ht="13.5">
      <c r="A504" s="86"/>
      <c r="B504" s="91"/>
      <c r="C504" s="92"/>
      <c r="D504" s="82"/>
      <c r="E504" s="82"/>
      <c r="F504" s="96"/>
    </row>
    <row r="505" spans="1:6" ht="13.5">
      <c r="A505" s="86"/>
      <c r="B505" s="91"/>
      <c r="C505" s="92"/>
      <c r="D505" s="82"/>
      <c r="E505" s="82"/>
      <c r="F505" s="96"/>
    </row>
    <row r="506" spans="1:6" ht="13.5">
      <c r="A506" s="86"/>
      <c r="B506" s="91"/>
      <c r="C506" s="92"/>
      <c r="D506" s="82"/>
      <c r="E506" s="82"/>
      <c r="F506" s="96"/>
    </row>
    <row r="507" spans="1:6" ht="13.5">
      <c r="A507" s="86"/>
      <c r="B507" s="91"/>
      <c r="C507" s="92"/>
      <c r="D507" s="82"/>
      <c r="E507" s="82"/>
      <c r="F507" s="96"/>
    </row>
    <row r="508" spans="1:6" ht="13.5">
      <c r="A508" s="86"/>
      <c r="B508" s="91"/>
      <c r="C508" s="92"/>
      <c r="D508" s="82"/>
      <c r="E508" s="82"/>
      <c r="F508" s="96"/>
    </row>
    <row r="509" spans="1:6" ht="13.5">
      <c r="A509" s="86"/>
      <c r="B509" s="91"/>
      <c r="C509" s="92"/>
      <c r="D509" s="82"/>
      <c r="E509" s="82"/>
      <c r="F509" s="96"/>
    </row>
    <row r="510" spans="1:6" ht="13.5">
      <c r="A510" s="86"/>
      <c r="B510" s="91"/>
      <c r="C510" s="92"/>
      <c r="D510" s="82"/>
      <c r="E510" s="82"/>
      <c r="F510" s="96"/>
    </row>
    <row r="511" spans="1:6" ht="13.5">
      <c r="A511" s="86"/>
      <c r="B511" s="91"/>
      <c r="C511" s="92"/>
      <c r="D511" s="82"/>
      <c r="E511" s="82"/>
      <c r="F511" s="96"/>
    </row>
    <row r="512" spans="1:6" ht="13.5">
      <c r="A512" s="86"/>
      <c r="B512" s="91"/>
      <c r="C512" s="92"/>
      <c r="D512" s="82"/>
      <c r="E512" s="82"/>
      <c r="F512" s="96"/>
    </row>
    <row r="513" spans="1:6" ht="13.5">
      <c r="A513" s="86"/>
      <c r="B513" s="91"/>
      <c r="C513" s="92"/>
      <c r="D513" s="82"/>
      <c r="E513" s="82"/>
      <c r="F513" s="96"/>
    </row>
    <row r="514" spans="1:6" ht="13.5">
      <c r="A514" s="86"/>
      <c r="B514" s="91"/>
      <c r="C514" s="92"/>
      <c r="D514" s="82"/>
      <c r="E514" s="82"/>
      <c r="F514" s="96"/>
    </row>
    <row r="515" spans="1:6" ht="13.5">
      <c r="A515" s="86"/>
      <c r="B515" s="91"/>
      <c r="C515" s="92"/>
      <c r="D515" s="82"/>
      <c r="E515" s="82"/>
      <c r="F515" s="96"/>
    </row>
    <row r="516" spans="1:6" ht="13.5">
      <c r="A516" s="86"/>
      <c r="B516" s="91"/>
      <c r="C516" s="92"/>
      <c r="D516" s="82"/>
      <c r="E516" s="82"/>
      <c r="F516" s="96"/>
    </row>
    <row r="517" spans="1:6" ht="13.5">
      <c r="A517" s="86"/>
      <c r="B517" s="91"/>
      <c r="C517" s="92"/>
      <c r="D517" s="82"/>
      <c r="E517" s="82"/>
      <c r="F517" s="96"/>
    </row>
    <row r="518" spans="1:6" ht="13.5">
      <c r="A518" s="86"/>
      <c r="B518" s="91"/>
      <c r="C518" s="92"/>
      <c r="D518" s="82"/>
      <c r="E518" s="82"/>
      <c r="F518" s="96"/>
    </row>
    <row r="519" spans="1:6" ht="13.5">
      <c r="A519" s="86"/>
      <c r="B519" s="91"/>
      <c r="C519" s="92"/>
      <c r="D519" s="82"/>
      <c r="E519" s="82"/>
      <c r="F519" s="96"/>
    </row>
    <row r="520" spans="1:6" ht="13.5">
      <c r="A520" s="86"/>
      <c r="B520" s="91"/>
      <c r="C520" s="92"/>
      <c r="D520" s="82"/>
      <c r="E520" s="82"/>
      <c r="F520" s="96"/>
    </row>
    <row r="521" spans="1:6" ht="13.5">
      <c r="A521" s="86"/>
      <c r="B521" s="91"/>
      <c r="C521" s="92"/>
      <c r="D521" s="82"/>
      <c r="E521" s="82"/>
      <c r="F521" s="96"/>
    </row>
    <row r="522" spans="1:6" ht="13.5">
      <c r="A522" s="86"/>
      <c r="B522" s="91"/>
      <c r="C522" s="92"/>
      <c r="D522" s="82"/>
      <c r="E522" s="82"/>
      <c r="F522" s="96"/>
    </row>
    <row r="523" spans="1:6" ht="13.5">
      <c r="A523" s="86"/>
      <c r="B523" s="91"/>
      <c r="C523" s="92"/>
      <c r="D523" s="82"/>
      <c r="E523" s="82"/>
      <c r="F523" s="96"/>
    </row>
    <row r="524" spans="1:6" ht="13.5">
      <c r="A524" s="86"/>
      <c r="B524" s="91"/>
      <c r="C524" s="92"/>
      <c r="D524" s="82"/>
      <c r="E524" s="82"/>
      <c r="F524" s="96"/>
    </row>
    <row r="525" spans="1:6" ht="13.5">
      <c r="A525" s="86"/>
      <c r="B525" s="91"/>
      <c r="C525" s="92"/>
      <c r="D525" s="82"/>
      <c r="E525" s="82"/>
      <c r="F525" s="96"/>
    </row>
    <row r="526" spans="1:6" ht="13.5">
      <c r="A526" s="86"/>
      <c r="B526" s="91"/>
      <c r="C526" s="92"/>
      <c r="D526" s="82"/>
      <c r="E526" s="82"/>
      <c r="F526" s="96"/>
    </row>
    <row r="527" spans="1:6" ht="13.5">
      <c r="A527" s="86"/>
      <c r="B527" s="91"/>
      <c r="C527" s="92"/>
      <c r="D527" s="82"/>
      <c r="E527" s="82"/>
      <c r="F527" s="96"/>
    </row>
    <row r="528" spans="1:6" ht="13.5">
      <c r="A528" s="86"/>
      <c r="B528" s="91"/>
      <c r="C528" s="92"/>
      <c r="D528" s="82"/>
      <c r="E528" s="82"/>
      <c r="F528" s="96"/>
    </row>
    <row r="529" spans="1:6" ht="13.5">
      <c r="A529" s="86"/>
      <c r="B529" s="91"/>
      <c r="C529" s="92"/>
      <c r="D529" s="82"/>
      <c r="E529" s="82"/>
      <c r="F529" s="96"/>
    </row>
    <row r="530" spans="1:6" ht="13.5">
      <c r="A530" s="86"/>
      <c r="B530" s="91"/>
      <c r="C530" s="92"/>
      <c r="D530" s="82"/>
      <c r="E530" s="82"/>
      <c r="F530" s="96"/>
    </row>
    <row r="531" spans="1:6" ht="13.5">
      <c r="A531" s="86"/>
      <c r="B531" s="91"/>
      <c r="C531" s="92"/>
      <c r="D531" s="82"/>
      <c r="E531" s="82"/>
      <c r="F531" s="96"/>
    </row>
    <row r="532" spans="1:6" ht="13.5">
      <c r="A532" s="86"/>
      <c r="B532" s="91"/>
      <c r="C532" s="92"/>
      <c r="D532" s="82"/>
      <c r="E532" s="82"/>
      <c r="F532" s="96"/>
    </row>
    <row r="533" spans="1:6" ht="13.5">
      <c r="A533" s="86"/>
      <c r="B533" s="91"/>
      <c r="C533" s="92"/>
      <c r="D533" s="82"/>
      <c r="E533" s="82"/>
      <c r="F533" s="96"/>
    </row>
    <row r="534" spans="1:6" ht="13.5">
      <c r="A534" s="86"/>
      <c r="B534" s="91"/>
      <c r="C534" s="92"/>
      <c r="D534" s="82"/>
      <c r="E534" s="82"/>
      <c r="F534" s="96"/>
    </row>
    <row r="535" spans="1:6" ht="13.5">
      <c r="A535" s="86"/>
      <c r="B535" s="91"/>
      <c r="C535" s="92"/>
      <c r="D535" s="82"/>
      <c r="E535" s="82"/>
      <c r="F535" s="96"/>
    </row>
    <row r="536" spans="1:6" ht="13.5">
      <c r="A536" s="86"/>
      <c r="B536" s="91"/>
      <c r="C536" s="92"/>
      <c r="D536" s="82"/>
      <c r="E536" s="82"/>
      <c r="F536" s="96"/>
    </row>
    <row r="537" spans="1:6" ht="13.5">
      <c r="A537" s="86"/>
      <c r="B537" s="91"/>
      <c r="C537" s="92"/>
      <c r="D537" s="82"/>
      <c r="E537" s="82"/>
      <c r="F537" s="96"/>
    </row>
    <row r="538" spans="1:6" ht="13.5">
      <c r="A538" s="86"/>
      <c r="B538" s="91"/>
      <c r="C538" s="92"/>
      <c r="D538" s="82"/>
      <c r="E538" s="82"/>
      <c r="F538" s="96"/>
    </row>
    <row r="539" spans="1:6" ht="13.5">
      <c r="A539" s="86"/>
      <c r="B539" s="91"/>
      <c r="C539" s="92"/>
      <c r="D539" s="82"/>
      <c r="E539" s="82"/>
      <c r="F539" s="96"/>
    </row>
    <row r="540" spans="1:6" ht="13.5">
      <c r="A540" s="86"/>
      <c r="B540" s="91"/>
      <c r="C540" s="92"/>
      <c r="D540" s="82"/>
      <c r="E540" s="82"/>
      <c r="F540" s="96"/>
    </row>
    <row r="541" spans="1:6" ht="13.5">
      <c r="A541" s="86"/>
      <c r="B541" s="91"/>
      <c r="C541" s="92"/>
      <c r="D541" s="82"/>
      <c r="E541" s="82"/>
      <c r="F541" s="96"/>
    </row>
    <row r="542" spans="1:6" ht="13.5">
      <c r="A542" s="86"/>
      <c r="B542" s="91"/>
      <c r="C542" s="92"/>
      <c r="D542" s="82"/>
      <c r="E542" s="82"/>
      <c r="F542" s="96"/>
    </row>
    <row r="543" spans="1:6" ht="13.5">
      <c r="A543" s="86"/>
      <c r="B543" s="91"/>
      <c r="C543" s="92"/>
      <c r="D543" s="82"/>
      <c r="E543" s="82"/>
      <c r="F543" s="96"/>
    </row>
    <row r="544" spans="1:6" ht="13.5">
      <c r="A544" s="86"/>
      <c r="B544" s="91"/>
      <c r="C544" s="92"/>
      <c r="D544" s="82"/>
      <c r="E544" s="82"/>
      <c r="F544" s="96"/>
    </row>
    <row r="545" spans="1:6" ht="13.5">
      <c r="A545" s="86"/>
      <c r="B545" s="91"/>
      <c r="C545" s="92"/>
      <c r="D545" s="82"/>
      <c r="E545" s="82"/>
      <c r="F545" s="96"/>
    </row>
    <row r="546" spans="1:6" ht="13.5">
      <c r="A546" s="86"/>
      <c r="B546" s="91"/>
      <c r="C546" s="92"/>
      <c r="D546" s="82"/>
      <c r="E546" s="82"/>
      <c r="F546" s="96"/>
    </row>
    <row r="547" spans="1:6" ht="13.5">
      <c r="A547" s="86"/>
      <c r="B547" s="91"/>
      <c r="C547" s="92"/>
      <c r="D547" s="82"/>
      <c r="E547" s="82"/>
      <c r="F547" s="96"/>
    </row>
    <row r="548" spans="1:6" ht="13.5">
      <c r="A548" s="86"/>
      <c r="B548" s="91"/>
      <c r="C548" s="92"/>
      <c r="D548" s="82"/>
      <c r="E548" s="82"/>
      <c r="F548" s="96"/>
    </row>
    <row r="549" spans="1:6" ht="13.5">
      <c r="A549" s="86"/>
      <c r="B549" s="91"/>
      <c r="C549" s="92"/>
      <c r="D549" s="82"/>
      <c r="E549" s="82"/>
      <c r="F549" s="96"/>
    </row>
    <row r="550" spans="1:6" ht="13.5">
      <c r="A550" s="86"/>
      <c r="B550" s="91"/>
      <c r="C550" s="92"/>
      <c r="D550" s="82"/>
      <c r="E550" s="82"/>
      <c r="F550" s="96"/>
    </row>
    <row r="551" spans="1:6" ht="13.5">
      <c r="A551" s="86"/>
      <c r="B551" s="91"/>
      <c r="C551" s="92"/>
      <c r="D551" s="82"/>
      <c r="E551" s="82"/>
      <c r="F551" s="96"/>
    </row>
    <row r="552" spans="1:6" ht="13.5">
      <c r="A552" s="86"/>
      <c r="B552" s="91"/>
      <c r="C552" s="92"/>
      <c r="D552" s="82"/>
      <c r="E552" s="82"/>
      <c r="F552" s="96"/>
    </row>
    <row r="553" spans="1:6" ht="13.5">
      <c r="A553" s="86"/>
      <c r="B553" s="91"/>
      <c r="C553" s="92"/>
      <c r="D553" s="82"/>
      <c r="E553" s="82"/>
      <c r="F553" s="96"/>
    </row>
    <row r="554" spans="1:6" ht="13.5">
      <c r="A554" s="86"/>
      <c r="B554" s="91"/>
      <c r="C554" s="92"/>
      <c r="D554" s="82"/>
      <c r="E554" s="82"/>
      <c r="F554" s="96"/>
    </row>
    <row r="555" spans="1:6" ht="13.5">
      <c r="A555" s="86"/>
      <c r="B555" s="91"/>
      <c r="C555" s="92"/>
      <c r="D555" s="82"/>
      <c r="E555" s="82"/>
      <c r="F555" s="96"/>
    </row>
    <row r="556" spans="1:6" ht="13.5">
      <c r="A556" s="86"/>
      <c r="B556" s="91"/>
      <c r="C556" s="92"/>
      <c r="D556" s="82"/>
      <c r="E556" s="82"/>
      <c r="F556" s="96"/>
    </row>
    <row r="557" spans="1:6" ht="13.5">
      <c r="A557" s="86"/>
      <c r="B557" s="91"/>
      <c r="C557" s="92"/>
      <c r="D557" s="82"/>
      <c r="E557" s="82"/>
      <c r="F557" s="96"/>
    </row>
    <row r="558" spans="1:6" ht="13.5">
      <c r="A558" s="86"/>
      <c r="B558" s="91"/>
      <c r="C558" s="92"/>
      <c r="D558" s="82"/>
      <c r="E558" s="82"/>
      <c r="F558" s="96"/>
    </row>
    <row r="559" spans="1:6" ht="13.5">
      <c r="A559" s="86"/>
      <c r="B559" s="91"/>
      <c r="C559" s="92"/>
      <c r="D559" s="82"/>
      <c r="E559" s="82"/>
      <c r="F559" s="96"/>
    </row>
    <row r="560" spans="1:6" ht="13.5">
      <c r="A560" s="86"/>
      <c r="B560" s="91"/>
      <c r="C560" s="92"/>
      <c r="D560" s="82"/>
      <c r="E560" s="82"/>
      <c r="F560" s="96"/>
    </row>
    <row r="561" spans="1:6" ht="13.5">
      <c r="A561" s="86"/>
      <c r="B561" s="91"/>
      <c r="C561" s="92"/>
      <c r="D561" s="82"/>
      <c r="E561" s="82"/>
      <c r="F561" s="96"/>
    </row>
    <row r="562" spans="1:6" ht="13.5">
      <c r="A562" s="86"/>
      <c r="B562" s="91"/>
      <c r="C562" s="92"/>
      <c r="D562" s="82"/>
      <c r="E562" s="82"/>
      <c r="F562" s="96"/>
    </row>
    <row r="563" spans="1:6" ht="13.5">
      <c r="A563" s="86"/>
      <c r="B563" s="91"/>
      <c r="C563" s="92"/>
      <c r="D563" s="82"/>
      <c r="E563" s="82"/>
      <c r="F563" s="96"/>
    </row>
    <row r="564" spans="1:6" ht="13.5">
      <c r="A564" s="86"/>
      <c r="B564" s="91"/>
      <c r="C564" s="92"/>
      <c r="D564" s="82"/>
      <c r="E564" s="82"/>
      <c r="F564" s="96"/>
    </row>
    <row r="565" spans="1:6" ht="13.5">
      <c r="A565" s="86"/>
      <c r="B565" s="91"/>
      <c r="C565" s="92"/>
      <c r="D565" s="82"/>
      <c r="E565" s="82"/>
      <c r="F565" s="96"/>
    </row>
    <row r="566" spans="1:6" ht="13.5">
      <c r="A566" s="86"/>
      <c r="B566" s="91"/>
      <c r="C566" s="92"/>
      <c r="D566" s="82"/>
      <c r="E566" s="82"/>
      <c r="F566" s="96"/>
    </row>
    <row r="567" spans="1:6" ht="13.5">
      <c r="A567" s="86"/>
      <c r="B567" s="91"/>
      <c r="C567" s="92"/>
      <c r="D567" s="82"/>
      <c r="E567" s="82"/>
      <c r="F567" s="96"/>
    </row>
    <row r="568" spans="1:6" ht="13.5">
      <c r="A568" s="86"/>
      <c r="B568" s="91"/>
      <c r="C568" s="92"/>
      <c r="D568" s="82"/>
      <c r="E568" s="82"/>
      <c r="F568" s="96"/>
    </row>
    <row r="569" spans="1:6" ht="13.5">
      <c r="A569" s="86"/>
      <c r="B569" s="91"/>
      <c r="C569" s="92"/>
      <c r="D569" s="82"/>
      <c r="E569" s="82"/>
      <c r="F569" s="96"/>
    </row>
    <row r="570" spans="1:6" ht="13.5">
      <c r="A570" s="86"/>
      <c r="B570" s="91"/>
      <c r="C570" s="92"/>
      <c r="D570" s="82"/>
      <c r="E570" s="82"/>
      <c r="F570" s="96"/>
    </row>
    <row r="571" spans="1:6" ht="13.5">
      <c r="A571" s="86"/>
      <c r="B571" s="91"/>
      <c r="C571" s="92"/>
      <c r="D571" s="82"/>
      <c r="E571" s="82"/>
      <c r="F571" s="96"/>
    </row>
    <row r="572" spans="1:6" ht="13.5">
      <c r="A572" s="86"/>
      <c r="B572" s="91"/>
      <c r="C572" s="92"/>
      <c r="D572" s="82"/>
      <c r="E572" s="82"/>
      <c r="F572" s="96"/>
    </row>
    <row r="573" spans="1:6" ht="13.5">
      <c r="A573" s="86"/>
      <c r="B573" s="91"/>
      <c r="C573" s="92"/>
      <c r="D573" s="82"/>
      <c r="E573" s="82"/>
      <c r="F573" s="96"/>
    </row>
    <row r="574" spans="1:6" ht="13.5">
      <c r="A574" s="86"/>
      <c r="B574" s="91"/>
      <c r="C574" s="92"/>
      <c r="D574" s="82"/>
      <c r="E574" s="82"/>
      <c r="F574" s="96"/>
    </row>
    <row r="575" spans="1:6" ht="13.5">
      <c r="A575" s="86"/>
      <c r="B575" s="91"/>
      <c r="C575" s="92"/>
      <c r="D575" s="82"/>
      <c r="E575" s="82"/>
      <c r="F575" s="96"/>
    </row>
    <row r="576" spans="1:6" ht="13.5">
      <c r="A576" s="86"/>
      <c r="B576" s="91"/>
      <c r="C576" s="92"/>
      <c r="D576" s="82"/>
      <c r="E576" s="82"/>
      <c r="F576" s="96"/>
    </row>
    <row r="577" spans="1:6" ht="13.5">
      <c r="A577" s="86"/>
      <c r="B577" s="91"/>
      <c r="C577" s="92"/>
      <c r="D577" s="82"/>
      <c r="E577" s="82"/>
      <c r="F577" s="96"/>
    </row>
    <row r="578" spans="1:6" ht="13.5">
      <c r="A578" s="86"/>
      <c r="B578" s="91"/>
      <c r="C578" s="92"/>
      <c r="D578" s="82"/>
      <c r="E578" s="82"/>
      <c r="F578" s="96"/>
    </row>
    <row r="579" spans="1:6" ht="13.5">
      <c r="A579" s="86"/>
      <c r="B579" s="91"/>
      <c r="C579" s="92"/>
      <c r="D579" s="82"/>
      <c r="E579" s="82"/>
      <c r="F579" s="96"/>
    </row>
    <row r="580" spans="1:6" ht="13.5">
      <c r="A580" s="86"/>
      <c r="B580" s="91"/>
      <c r="C580" s="92"/>
      <c r="D580" s="82"/>
      <c r="E580" s="82"/>
      <c r="F580" s="96"/>
    </row>
    <row r="581" spans="1:6" ht="13.5">
      <c r="A581" s="86"/>
      <c r="B581" s="91"/>
      <c r="C581" s="92"/>
      <c r="D581" s="82"/>
      <c r="E581" s="82"/>
      <c r="F581" s="96"/>
    </row>
    <row r="582" spans="1:6" ht="13.5">
      <c r="A582" s="86"/>
      <c r="B582" s="91"/>
      <c r="C582" s="92"/>
      <c r="D582" s="82"/>
      <c r="E582" s="82"/>
      <c r="F582" s="96"/>
    </row>
    <row r="583" spans="1:6" ht="13.5">
      <c r="A583" s="86"/>
      <c r="B583" s="91"/>
      <c r="C583" s="92"/>
      <c r="D583" s="82"/>
      <c r="E583" s="82"/>
      <c r="F583" s="96"/>
    </row>
    <row r="584" spans="1:6" ht="13.5">
      <c r="A584" s="86"/>
      <c r="B584" s="91"/>
      <c r="C584" s="92"/>
      <c r="D584" s="82"/>
      <c r="E584" s="82"/>
      <c r="F584" s="96"/>
    </row>
    <row r="585" spans="1:6" ht="13.5">
      <c r="A585" s="86"/>
      <c r="B585" s="91"/>
      <c r="C585" s="92"/>
      <c r="D585" s="82"/>
      <c r="E585" s="82"/>
      <c r="F585" s="96"/>
    </row>
    <row r="586" spans="1:6" ht="13.5">
      <c r="A586" s="86"/>
      <c r="B586" s="91"/>
      <c r="C586" s="92"/>
      <c r="D586" s="82"/>
      <c r="E586" s="82"/>
      <c r="F586" s="96"/>
    </row>
    <row r="587" spans="1:6" ht="13.5">
      <c r="A587" s="86"/>
      <c r="B587" s="91"/>
      <c r="C587" s="92"/>
      <c r="D587" s="82"/>
      <c r="E587" s="82"/>
      <c r="F587" s="96"/>
    </row>
    <row r="588" spans="1:6" ht="13.5">
      <c r="A588" s="86"/>
      <c r="B588" s="91"/>
      <c r="C588" s="92"/>
      <c r="D588" s="82"/>
      <c r="E588" s="82"/>
      <c r="F588" s="96"/>
    </row>
    <row r="589" spans="1:6" ht="13.5">
      <c r="A589" s="86"/>
      <c r="B589" s="91"/>
      <c r="C589" s="92"/>
      <c r="D589" s="82"/>
      <c r="E589" s="82"/>
      <c r="F589" s="96"/>
    </row>
    <row r="590" spans="1:6" ht="13.5">
      <c r="A590" s="86"/>
      <c r="B590" s="91"/>
      <c r="C590" s="92"/>
      <c r="D590" s="82"/>
      <c r="E590" s="82"/>
      <c r="F590" s="96"/>
    </row>
    <row r="591" spans="1:6" ht="13.5">
      <c r="A591" s="86"/>
      <c r="B591" s="91"/>
      <c r="C591" s="92"/>
      <c r="D591" s="82"/>
      <c r="E591" s="82"/>
      <c r="F591" s="96"/>
    </row>
    <row r="592" spans="1:6" ht="13.5">
      <c r="A592" s="86"/>
      <c r="B592" s="91"/>
      <c r="C592" s="92"/>
      <c r="D592" s="82"/>
      <c r="E592" s="82"/>
      <c r="F592" s="96"/>
    </row>
    <row r="593" spans="1:6" ht="13.5">
      <c r="A593" s="86"/>
      <c r="B593" s="91"/>
      <c r="C593" s="92"/>
      <c r="D593" s="82"/>
      <c r="E593" s="82"/>
      <c r="F593" s="96"/>
    </row>
    <row r="594" spans="1:6" ht="13.5">
      <c r="A594" s="86"/>
      <c r="B594" s="91"/>
      <c r="C594" s="92"/>
      <c r="D594" s="82"/>
      <c r="E594" s="82"/>
      <c r="F594" s="96"/>
    </row>
    <row r="595" spans="1:6" ht="13.5">
      <c r="A595" s="86"/>
      <c r="B595" s="91"/>
      <c r="C595" s="92"/>
      <c r="D595" s="82"/>
      <c r="E595" s="82"/>
      <c r="F595" s="96"/>
    </row>
    <row r="596" spans="1:6" ht="13.5">
      <c r="A596" s="86"/>
      <c r="B596" s="91"/>
      <c r="C596" s="92"/>
      <c r="D596" s="82"/>
      <c r="E596" s="82"/>
      <c r="F596" s="96"/>
    </row>
    <row r="597" spans="1:6" ht="13.5">
      <c r="A597" s="86"/>
      <c r="B597" s="91"/>
      <c r="C597" s="92"/>
      <c r="D597" s="82"/>
      <c r="E597" s="82"/>
      <c r="F597" s="96"/>
    </row>
    <row r="598" spans="1:6" ht="13.5">
      <c r="A598" s="86"/>
      <c r="B598" s="91"/>
      <c r="C598" s="92"/>
      <c r="D598" s="82"/>
      <c r="E598" s="82"/>
      <c r="F598" s="96"/>
    </row>
    <row r="599" spans="1:6" ht="13.5">
      <c r="A599" s="86"/>
      <c r="B599" s="91"/>
      <c r="C599" s="92"/>
      <c r="D599" s="82"/>
      <c r="E599" s="82"/>
      <c r="F599" s="96"/>
    </row>
    <row r="600" spans="1:6" ht="13.5">
      <c r="A600" s="86"/>
      <c r="B600" s="91"/>
      <c r="C600" s="92"/>
      <c r="D600" s="82"/>
      <c r="E600" s="82"/>
      <c r="F600" s="96"/>
    </row>
    <row r="601" spans="1:6" ht="13.5">
      <c r="A601" s="86"/>
      <c r="B601" s="91"/>
      <c r="C601" s="92"/>
      <c r="D601" s="82"/>
      <c r="E601" s="82"/>
      <c r="F601" s="96"/>
    </row>
    <row r="602" spans="1:6" ht="13.5">
      <c r="A602" s="86"/>
      <c r="B602" s="91"/>
      <c r="C602" s="92"/>
      <c r="D602" s="82"/>
      <c r="E602" s="82"/>
      <c r="F602" s="96"/>
    </row>
    <row r="603" spans="1:6" ht="13.5">
      <c r="A603" s="86"/>
      <c r="B603" s="91"/>
      <c r="C603" s="92"/>
      <c r="D603" s="82"/>
      <c r="E603" s="82"/>
      <c r="F603" s="96"/>
    </row>
    <row r="604" spans="1:6" ht="13.5">
      <c r="A604" s="86"/>
      <c r="B604" s="91"/>
      <c r="C604" s="92"/>
      <c r="D604" s="82"/>
      <c r="E604" s="82"/>
      <c r="F604" s="96"/>
    </row>
    <row r="605" spans="1:6" ht="13.5">
      <c r="A605" s="86"/>
      <c r="B605" s="91"/>
      <c r="C605" s="92"/>
      <c r="D605" s="82"/>
      <c r="E605" s="82"/>
      <c r="F605" s="96"/>
    </row>
    <row r="606" spans="1:6" ht="13.5">
      <c r="A606" s="86"/>
      <c r="B606" s="91"/>
      <c r="C606" s="92"/>
      <c r="D606" s="82"/>
      <c r="E606" s="82"/>
      <c r="F606" s="96"/>
    </row>
    <row r="607" spans="1:6" ht="13.5">
      <c r="A607" s="86"/>
      <c r="B607" s="91"/>
      <c r="C607" s="92"/>
      <c r="D607" s="82"/>
      <c r="E607" s="82"/>
      <c r="F607" s="96"/>
    </row>
    <row r="608" spans="1:6" ht="13.5">
      <c r="A608" s="86"/>
      <c r="B608" s="91"/>
      <c r="C608" s="92"/>
      <c r="D608" s="82"/>
      <c r="E608" s="82"/>
      <c r="F608" s="96"/>
    </row>
    <row r="609" spans="1:6" ht="13.5">
      <c r="A609" s="86"/>
      <c r="B609" s="91"/>
      <c r="C609" s="92"/>
      <c r="D609" s="82"/>
      <c r="E609" s="82"/>
      <c r="F609" s="96"/>
    </row>
    <row r="610" spans="1:6" ht="13.5">
      <c r="A610" s="86"/>
      <c r="B610" s="91"/>
      <c r="C610" s="92"/>
      <c r="D610" s="82"/>
      <c r="E610" s="82"/>
      <c r="F610" s="96"/>
    </row>
    <row r="611" spans="1:6" ht="13.5">
      <c r="A611" s="86"/>
      <c r="B611" s="91"/>
      <c r="C611" s="92"/>
      <c r="D611" s="82"/>
      <c r="E611" s="82"/>
      <c r="F611" s="96"/>
    </row>
    <row r="612" spans="1:6" ht="13.5">
      <c r="A612" s="86"/>
      <c r="B612" s="91"/>
      <c r="C612" s="92"/>
      <c r="D612" s="82"/>
      <c r="E612" s="82"/>
      <c r="F612" s="96"/>
    </row>
    <row r="613" spans="1:6" ht="13.5">
      <c r="A613" s="86"/>
      <c r="B613" s="91"/>
      <c r="C613" s="92"/>
      <c r="D613" s="82"/>
      <c r="E613" s="82"/>
      <c r="F613" s="96"/>
    </row>
    <row r="614" spans="1:6" ht="13.5">
      <c r="A614" s="86"/>
      <c r="B614" s="91"/>
      <c r="C614" s="92"/>
      <c r="D614" s="82"/>
      <c r="E614" s="82"/>
      <c r="F614" s="96"/>
    </row>
    <row r="615" spans="1:6" ht="13.5">
      <c r="A615" s="86"/>
      <c r="B615" s="91"/>
      <c r="C615" s="92"/>
      <c r="D615" s="82"/>
      <c r="E615" s="82"/>
      <c r="F615" s="96"/>
    </row>
    <row r="616" spans="1:6" ht="13.5">
      <c r="A616" s="86"/>
      <c r="B616" s="91"/>
      <c r="C616" s="92"/>
      <c r="D616" s="82"/>
      <c r="E616" s="82"/>
      <c r="F616" s="96"/>
    </row>
    <row r="617" spans="1:6" ht="13.5">
      <c r="A617" s="86"/>
      <c r="B617" s="91"/>
      <c r="C617" s="92"/>
      <c r="D617" s="82"/>
      <c r="E617" s="82"/>
      <c r="F617" s="96"/>
    </row>
    <row r="618" spans="1:6" ht="13.5">
      <c r="A618" s="86"/>
      <c r="B618" s="91"/>
      <c r="C618" s="92"/>
      <c r="D618" s="82"/>
      <c r="E618" s="82"/>
      <c r="F618" s="96"/>
    </row>
    <row r="619" spans="1:6" ht="13.5">
      <c r="A619" s="86"/>
      <c r="B619" s="91"/>
      <c r="C619" s="92"/>
      <c r="D619" s="82"/>
      <c r="E619" s="82"/>
      <c r="F619" s="96"/>
    </row>
    <row r="620" spans="1:6" ht="13.5">
      <c r="A620" s="86"/>
      <c r="B620" s="91"/>
      <c r="C620" s="92"/>
      <c r="D620" s="82"/>
      <c r="E620" s="82"/>
      <c r="F620" s="96"/>
    </row>
    <row r="621" spans="1:6" ht="13.5">
      <c r="A621" s="86"/>
      <c r="B621" s="91"/>
      <c r="C621" s="92"/>
      <c r="D621" s="82"/>
      <c r="E621" s="82"/>
      <c r="F621" s="96"/>
    </row>
    <row r="622" spans="1:6" ht="13.5">
      <c r="A622" s="86"/>
      <c r="B622" s="91"/>
      <c r="C622" s="92"/>
      <c r="D622" s="82"/>
      <c r="E622" s="82"/>
      <c r="F622" s="96"/>
    </row>
    <row r="623" spans="1:6" ht="13.5">
      <c r="A623" s="86"/>
      <c r="B623" s="91"/>
      <c r="C623" s="92"/>
      <c r="D623" s="82"/>
      <c r="E623" s="82"/>
      <c r="F623" s="96"/>
    </row>
    <row r="624" spans="1:6" ht="13.5">
      <c r="A624" s="86"/>
      <c r="B624" s="91"/>
      <c r="C624" s="92"/>
      <c r="D624" s="82"/>
      <c r="E624" s="82"/>
      <c r="F624" s="96"/>
    </row>
    <row r="625" spans="1:6" ht="13.5">
      <c r="A625" s="86"/>
      <c r="B625" s="91"/>
      <c r="C625" s="92"/>
      <c r="D625" s="82"/>
      <c r="E625" s="82"/>
      <c r="F625" s="96"/>
    </row>
    <row r="626" spans="1:6" ht="13.5">
      <c r="A626" s="86"/>
      <c r="B626" s="91"/>
      <c r="C626" s="92"/>
      <c r="D626" s="82"/>
      <c r="E626" s="82"/>
      <c r="F626" s="96"/>
    </row>
    <row r="627" spans="1:6" ht="13.5">
      <c r="A627" s="86"/>
      <c r="B627" s="91"/>
      <c r="C627" s="92"/>
      <c r="D627" s="82"/>
      <c r="E627" s="82"/>
      <c r="F627" s="96"/>
    </row>
    <row r="628" spans="1:6" ht="13.5">
      <c r="A628" s="86"/>
      <c r="B628" s="91"/>
      <c r="C628" s="92"/>
      <c r="D628" s="82"/>
      <c r="E628" s="82"/>
      <c r="F628" s="96"/>
    </row>
    <row r="629" spans="1:6" ht="13.5">
      <c r="A629" s="86"/>
      <c r="B629" s="91"/>
      <c r="C629" s="92"/>
      <c r="D629" s="82"/>
      <c r="E629" s="82"/>
      <c r="F629" s="96"/>
    </row>
    <row r="630" spans="1:6" ht="13.5">
      <c r="A630" s="86"/>
      <c r="B630" s="91"/>
      <c r="C630" s="92"/>
      <c r="D630" s="82"/>
      <c r="E630" s="82"/>
      <c r="F630" s="96"/>
    </row>
    <row r="631" spans="1:6" ht="13.5">
      <c r="A631" s="86"/>
      <c r="B631" s="91"/>
      <c r="C631" s="92"/>
      <c r="D631" s="82"/>
      <c r="E631" s="82"/>
      <c r="F631" s="96"/>
    </row>
    <row r="632" spans="1:6" ht="13.5">
      <c r="A632" s="86"/>
      <c r="B632" s="91"/>
      <c r="C632" s="92"/>
      <c r="D632" s="82"/>
      <c r="E632" s="82"/>
      <c r="F632" s="96"/>
    </row>
    <row r="633" spans="1:6" ht="13.5">
      <c r="A633" s="86"/>
      <c r="B633" s="91"/>
      <c r="C633" s="92"/>
      <c r="D633" s="82"/>
      <c r="E633" s="82"/>
      <c r="F633" s="96"/>
    </row>
    <row r="634" spans="1:6" ht="13.5">
      <c r="A634" s="86"/>
      <c r="B634" s="91"/>
      <c r="C634" s="92"/>
      <c r="D634" s="82"/>
      <c r="E634" s="82"/>
      <c r="F634" s="96"/>
    </row>
    <row r="635" spans="1:6" ht="13.5">
      <c r="A635" s="86"/>
      <c r="B635" s="91"/>
      <c r="C635" s="92"/>
      <c r="D635" s="82"/>
      <c r="E635" s="82"/>
      <c r="F635" s="96"/>
    </row>
    <row r="636" spans="1:6" ht="13.5">
      <c r="A636" s="86"/>
      <c r="B636" s="91"/>
      <c r="C636" s="92"/>
      <c r="D636" s="82"/>
      <c r="E636" s="82"/>
      <c r="F636" s="96"/>
    </row>
    <row r="637" spans="1:6" ht="13.5">
      <c r="A637" s="86"/>
      <c r="B637" s="91"/>
      <c r="C637" s="92"/>
      <c r="D637" s="82"/>
      <c r="E637" s="82"/>
      <c r="F637" s="96"/>
    </row>
    <row r="638" spans="1:6" ht="13.5">
      <c r="A638" s="86"/>
      <c r="B638" s="91"/>
      <c r="C638" s="92"/>
      <c r="D638" s="82"/>
      <c r="E638" s="82"/>
      <c r="F638" s="96"/>
    </row>
    <row r="639" spans="1:6" ht="13.5">
      <c r="A639" s="86"/>
      <c r="B639" s="91"/>
      <c r="C639" s="92"/>
      <c r="D639" s="82"/>
      <c r="E639" s="82"/>
      <c r="F639" s="96"/>
    </row>
    <row r="640" spans="1:6" ht="13.5">
      <c r="A640" s="86"/>
      <c r="B640" s="91"/>
      <c r="C640" s="92"/>
      <c r="D640" s="82"/>
      <c r="E640" s="82"/>
      <c r="F640" s="96"/>
    </row>
    <row r="641" spans="1:6" ht="13.5">
      <c r="A641" s="86"/>
      <c r="B641" s="91"/>
      <c r="C641" s="92"/>
      <c r="D641" s="82"/>
      <c r="E641" s="82"/>
      <c r="F641" s="96"/>
    </row>
    <row r="642" spans="1:6" ht="13.5">
      <c r="A642" s="86"/>
      <c r="B642" s="91"/>
      <c r="C642" s="92"/>
      <c r="D642" s="82"/>
      <c r="E642" s="82"/>
      <c r="F642" s="96"/>
    </row>
    <row r="643" spans="1:6" ht="13.5">
      <c r="A643" s="86"/>
      <c r="B643" s="91"/>
      <c r="C643" s="92"/>
      <c r="D643" s="82"/>
      <c r="E643" s="82"/>
      <c r="F643" s="96"/>
    </row>
    <row r="644" spans="1:6" ht="13.5">
      <c r="A644" s="86"/>
      <c r="B644" s="91"/>
      <c r="C644" s="92"/>
      <c r="D644" s="82"/>
      <c r="E644" s="82"/>
      <c r="F644" s="96"/>
    </row>
    <row r="645" spans="1:6" ht="13.5">
      <c r="A645" s="86"/>
      <c r="B645" s="91"/>
      <c r="C645" s="92"/>
      <c r="D645" s="82"/>
      <c r="E645" s="82"/>
      <c r="F645" s="96"/>
    </row>
    <row r="646" spans="1:6" ht="13.5">
      <c r="A646" s="86"/>
      <c r="B646" s="91"/>
      <c r="C646" s="92"/>
      <c r="D646" s="82"/>
      <c r="E646" s="82"/>
      <c r="F646" s="96"/>
    </row>
    <row r="647" spans="1:6" ht="13.5">
      <c r="A647" s="86"/>
      <c r="B647" s="91"/>
      <c r="C647" s="92"/>
      <c r="D647" s="82"/>
      <c r="E647" s="82"/>
      <c r="F647" s="96"/>
    </row>
    <row r="648" spans="1:6" ht="13.5">
      <c r="A648" s="86"/>
      <c r="B648" s="91"/>
      <c r="C648" s="92"/>
      <c r="D648" s="82"/>
      <c r="E648" s="82"/>
      <c r="F648" s="96"/>
    </row>
    <row r="649" spans="1:6" ht="13.5">
      <c r="A649" s="86"/>
      <c r="B649" s="91"/>
      <c r="C649" s="92"/>
      <c r="D649" s="82"/>
      <c r="E649" s="82"/>
      <c r="F649" s="96"/>
    </row>
    <row r="650" spans="1:6" ht="13.5">
      <c r="A650" s="86"/>
      <c r="B650" s="91"/>
      <c r="C650" s="92"/>
      <c r="D650" s="82"/>
      <c r="E650" s="82"/>
      <c r="F650" s="96"/>
    </row>
    <row r="651" spans="1:6" ht="13.5">
      <c r="A651" s="86"/>
      <c r="B651" s="91"/>
      <c r="C651" s="92"/>
      <c r="D651" s="82"/>
      <c r="E651" s="82"/>
      <c r="F651" s="96"/>
    </row>
    <row r="652" spans="1:6" ht="13.5">
      <c r="A652" s="86"/>
      <c r="B652" s="91"/>
      <c r="C652" s="92"/>
      <c r="D652" s="82"/>
      <c r="E652" s="82"/>
      <c r="F652" s="96"/>
    </row>
    <row r="653" spans="1:6" ht="13.5">
      <c r="A653" s="86"/>
      <c r="B653" s="91"/>
      <c r="C653" s="92"/>
      <c r="D653" s="82"/>
      <c r="E653" s="82"/>
      <c r="F653" s="96"/>
    </row>
    <row r="654" spans="1:6" ht="13.5">
      <c r="A654" s="86"/>
      <c r="B654" s="91"/>
      <c r="C654" s="92"/>
      <c r="D654" s="82"/>
      <c r="E654" s="82"/>
      <c r="F654" s="96"/>
    </row>
    <row r="655" spans="1:6" ht="13.5">
      <c r="A655" s="86"/>
      <c r="B655" s="91"/>
      <c r="C655" s="92"/>
      <c r="D655" s="82"/>
      <c r="E655" s="82"/>
      <c r="F655" s="96"/>
    </row>
    <row r="656" spans="1:6" ht="13.5">
      <c r="A656" s="86"/>
      <c r="B656" s="91"/>
      <c r="C656" s="92"/>
      <c r="D656" s="82"/>
      <c r="E656" s="82"/>
      <c r="F656" s="96"/>
    </row>
    <row r="657" spans="1:6" ht="13.5">
      <c r="A657" s="86"/>
      <c r="B657" s="91"/>
      <c r="C657" s="92"/>
      <c r="D657" s="82"/>
      <c r="E657" s="82"/>
      <c r="F657" s="96"/>
    </row>
    <row r="658" spans="1:6" ht="13.5">
      <c r="A658" s="86"/>
      <c r="B658" s="91"/>
      <c r="C658" s="92"/>
      <c r="D658" s="82"/>
      <c r="E658" s="82"/>
      <c r="F658" s="96"/>
    </row>
    <row r="659" spans="1:6" ht="13.5">
      <c r="A659" s="86"/>
      <c r="B659" s="91"/>
      <c r="C659" s="92"/>
      <c r="D659" s="82"/>
      <c r="E659" s="82"/>
      <c r="F659" s="96"/>
    </row>
    <row r="660" spans="1:6" ht="13.5">
      <c r="A660" s="86"/>
      <c r="B660" s="91"/>
      <c r="C660" s="92"/>
      <c r="D660" s="82"/>
      <c r="E660" s="82"/>
      <c r="F660" s="96"/>
    </row>
    <row r="661" spans="1:6" ht="13.5">
      <c r="A661" s="86"/>
      <c r="B661" s="91"/>
      <c r="C661" s="92"/>
      <c r="D661" s="82"/>
      <c r="E661" s="82"/>
      <c r="F661" s="96"/>
    </row>
    <row r="662" spans="1:6" ht="13.5">
      <c r="A662" s="86"/>
      <c r="B662" s="91"/>
      <c r="C662" s="92"/>
      <c r="D662" s="82"/>
      <c r="E662" s="82"/>
      <c r="F662" s="96"/>
    </row>
    <row r="663" spans="1:6" ht="13.5">
      <c r="A663" s="86"/>
      <c r="B663" s="91"/>
      <c r="C663" s="92"/>
      <c r="D663" s="82"/>
      <c r="E663" s="82"/>
      <c r="F663" s="96"/>
    </row>
    <row r="664" spans="1:6" ht="13.5">
      <c r="A664" s="86"/>
      <c r="B664" s="91"/>
      <c r="C664" s="92"/>
      <c r="D664" s="82"/>
      <c r="E664" s="82"/>
      <c r="F664" s="96"/>
    </row>
    <row r="665" spans="1:6" ht="13.5">
      <c r="A665" s="86"/>
      <c r="B665" s="91"/>
      <c r="C665" s="92"/>
      <c r="D665" s="82"/>
      <c r="E665" s="82"/>
      <c r="F665" s="96"/>
    </row>
    <row r="666" spans="1:6" ht="13.5">
      <c r="A666" s="86"/>
      <c r="B666" s="91"/>
      <c r="C666" s="92"/>
      <c r="D666" s="82"/>
      <c r="E666" s="82"/>
      <c r="F666" s="96"/>
    </row>
    <row r="667" spans="1:6" ht="13.5">
      <c r="A667" s="86"/>
      <c r="B667" s="91"/>
      <c r="C667" s="92"/>
      <c r="D667" s="82"/>
      <c r="E667" s="82"/>
      <c r="F667" s="96"/>
    </row>
    <row r="668" spans="1:6" ht="13.5">
      <c r="A668" s="86"/>
      <c r="B668" s="91"/>
      <c r="C668" s="92"/>
      <c r="D668" s="82"/>
      <c r="E668" s="82"/>
      <c r="F668" s="96"/>
    </row>
    <row r="669" spans="1:6" ht="13.5">
      <c r="A669" s="86"/>
      <c r="B669" s="91"/>
      <c r="C669" s="92"/>
      <c r="D669" s="82"/>
      <c r="E669" s="82"/>
      <c r="F669" s="96"/>
    </row>
    <row r="670" spans="1:6" ht="13.5">
      <c r="A670" s="86"/>
      <c r="B670" s="91"/>
      <c r="C670" s="92"/>
      <c r="D670" s="82"/>
      <c r="E670" s="82"/>
      <c r="F670" s="96"/>
    </row>
    <row r="671" spans="1:6" ht="13.5">
      <c r="A671" s="86"/>
      <c r="B671" s="91"/>
      <c r="C671" s="92"/>
      <c r="D671" s="82"/>
      <c r="E671" s="82"/>
      <c r="F671" s="96"/>
    </row>
    <row r="672" spans="1:6" ht="13.5">
      <c r="A672" s="86"/>
      <c r="B672" s="91"/>
      <c r="C672" s="92"/>
      <c r="D672" s="82"/>
      <c r="E672" s="82"/>
      <c r="F672" s="96"/>
    </row>
    <row r="673" spans="1:6" ht="13.5">
      <c r="A673" s="86"/>
      <c r="B673" s="91"/>
      <c r="C673" s="92"/>
      <c r="D673" s="82"/>
      <c r="E673" s="82"/>
      <c r="F673" s="96"/>
    </row>
    <row r="674" spans="1:6" ht="13.5">
      <c r="A674" s="86"/>
      <c r="B674" s="91"/>
      <c r="C674" s="92"/>
      <c r="D674" s="82"/>
      <c r="E674" s="82"/>
      <c r="F674" s="96"/>
    </row>
    <row r="675" spans="1:6" ht="13.5">
      <c r="A675" s="86"/>
      <c r="B675" s="91"/>
      <c r="C675" s="92"/>
      <c r="D675" s="82"/>
      <c r="E675" s="82"/>
      <c r="F675" s="96"/>
    </row>
    <row r="676" spans="1:6" ht="13.5">
      <c r="A676" s="86"/>
      <c r="B676" s="91"/>
      <c r="C676" s="92"/>
      <c r="D676" s="82"/>
      <c r="E676" s="82"/>
      <c r="F676" s="96"/>
    </row>
    <row r="677" spans="1:6" ht="13.5">
      <c r="A677" s="86"/>
      <c r="B677" s="91"/>
      <c r="C677" s="92"/>
      <c r="D677" s="82"/>
      <c r="E677" s="82"/>
      <c r="F677" s="96"/>
    </row>
    <row r="678" spans="1:6" ht="13.5">
      <c r="A678" s="86"/>
      <c r="B678" s="91"/>
      <c r="C678" s="92"/>
      <c r="D678" s="82"/>
      <c r="E678" s="82"/>
      <c r="F678" s="96"/>
    </row>
    <row r="679" spans="1:6" ht="13.5">
      <c r="A679" s="86"/>
      <c r="B679" s="91"/>
      <c r="C679" s="92"/>
      <c r="D679" s="82"/>
      <c r="E679" s="82"/>
      <c r="F679" s="96"/>
    </row>
    <row r="680" spans="1:6" ht="13.5">
      <c r="A680" s="86"/>
      <c r="B680" s="91"/>
      <c r="C680" s="92"/>
      <c r="D680" s="82"/>
      <c r="E680" s="82"/>
      <c r="F680" s="96"/>
    </row>
    <row r="681" spans="1:6" ht="13.5">
      <c r="A681" s="86"/>
      <c r="B681" s="91"/>
      <c r="C681" s="92"/>
      <c r="D681" s="82"/>
      <c r="E681" s="82"/>
      <c r="F681" s="96"/>
    </row>
    <row r="682" spans="1:6" ht="13.5">
      <c r="A682" s="86"/>
      <c r="B682" s="91"/>
      <c r="C682" s="92"/>
      <c r="D682" s="82"/>
      <c r="E682" s="82"/>
      <c r="F682" s="96"/>
    </row>
    <row r="683" spans="1:6" ht="13.5">
      <c r="A683" s="86"/>
      <c r="B683" s="91"/>
      <c r="C683" s="92"/>
      <c r="D683" s="82"/>
      <c r="E683" s="82"/>
      <c r="F683" s="96"/>
    </row>
    <row r="684" spans="1:6" ht="13.5">
      <c r="A684" s="86"/>
      <c r="B684" s="91"/>
      <c r="C684" s="92"/>
      <c r="D684" s="82"/>
      <c r="E684" s="82"/>
      <c r="F684" s="96"/>
    </row>
    <row r="685" spans="1:6" ht="13.5">
      <c r="A685" s="86"/>
      <c r="B685" s="91"/>
      <c r="C685" s="92"/>
      <c r="D685" s="82"/>
      <c r="E685" s="82"/>
      <c r="F685" s="96"/>
    </row>
    <row r="686" spans="1:6" ht="13.5">
      <c r="A686" s="86"/>
      <c r="B686" s="91"/>
      <c r="C686" s="92"/>
      <c r="D686" s="82"/>
      <c r="E686" s="82"/>
      <c r="F686" s="96"/>
    </row>
    <row r="687" spans="1:6" ht="13.5">
      <c r="A687" s="86"/>
      <c r="B687" s="91"/>
      <c r="C687" s="92"/>
      <c r="D687" s="82"/>
      <c r="E687" s="82"/>
      <c r="F687" s="96"/>
    </row>
    <row r="688" spans="1:6" ht="13.5">
      <c r="A688" s="86"/>
      <c r="B688" s="91"/>
      <c r="C688" s="92"/>
      <c r="D688" s="82"/>
      <c r="E688" s="82"/>
      <c r="F688" s="96"/>
    </row>
    <row r="689" spans="1:6" ht="13.5">
      <c r="A689" s="86"/>
      <c r="B689" s="91"/>
      <c r="C689" s="92"/>
      <c r="D689" s="82"/>
      <c r="E689" s="82"/>
      <c r="F689" s="96"/>
    </row>
    <row r="690" spans="1:6" ht="13.5">
      <c r="A690" s="86"/>
      <c r="B690" s="91"/>
      <c r="C690" s="92"/>
      <c r="D690" s="82"/>
      <c r="E690" s="82"/>
      <c r="F690" s="96"/>
    </row>
    <row r="691" spans="1:6" ht="13.5">
      <c r="A691" s="86"/>
      <c r="B691" s="91"/>
      <c r="C691" s="92"/>
      <c r="D691" s="82"/>
      <c r="E691" s="82"/>
      <c r="F691" s="96"/>
    </row>
    <row r="692" spans="1:6" ht="13.5">
      <c r="A692" s="86"/>
      <c r="B692" s="91"/>
      <c r="C692" s="92"/>
      <c r="D692" s="82"/>
      <c r="E692" s="82"/>
      <c r="F692" s="96"/>
    </row>
    <row r="693" spans="1:6" ht="13.5">
      <c r="A693" s="86"/>
      <c r="B693" s="91"/>
      <c r="C693" s="92"/>
      <c r="D693" s="82"/>
      <c r="E693" s="82"/>
      <c r="F693" s="96"/>
    </row>
    <row r="694" spans="1:6" ht="13.5">
      <c r="A694" s="86"/>
      <c r="B694" s="91"/>
      <c r="C694" s="92"/>
      <c r="D694" s="82"/>
      <c r="E694" s="82"/>
      <c r="F694" s="96"/>
    </row>
    <row r="695" spans="1:6" ht="13.5">
      <c r="A695" s="86"/>
      <c r="B695" s="91"/>
      <c r="C695" s="92"/>
      <c r="D695" s="82"/>
      <c r="E695" s="82"/>
      <c r="F695" s="96"/>
    </row>
    <row r="696" spans="1:6" ht="13.5">
      <c r="A696" s="86"/>
      <c r="B696" s="91"/>
      <c r="C696" s="92"/>
      <c r="D696" s="82"/>
      <c r="E696" s="82"/>
      <c r="F696" s="96"/>
    </row>
    <row r="697" spans="1:6" ht="13.5">
      <c r="A697" s="86"/>
      <c r="B697" s="91"/>
      <c r="C697" s="92"/>
      <c r="D697" s="82"/>
      <c r="E697" s="82"/>
      <c r="F697" s="96"/>
    </row>
    <row r="698" spans="1:6" ht="13.5">
      <c r="A698" s="86"/>
      <c r="B698" s="91"/>
      <c r="C698" s="92"/>
      <c r="D698" s="82"/>
      <c r="E698" s="82"/>
      <c r="F698" s="96"/>
    </row>
    <row r="699" spans="1:6" ht="13.5">
      <c r="A699" s="86"/>
      <c r="B699" s="91"/>
      <c r="C699" s="92"/>
      <c r="D699" s="82"/>
      <c r="E699" s="82"/>
      <c r="F699" s="96"/>
    </row>
    <row r="700" spans="1:6" ht="13.5">
      <c r="A700" s="86"/>
      <c r="B700" s="91"/>
      <c r="C700" s="92"/>
      <c r="D700" s="82"/>
      <c r="E700" s="82"/>
      <c r="F700" s="96"/>
    </row>
    <row r="701" spans="1:6" ht="13.5">
      <c r="A701" s="86"/>
      <c r="B701" s="91"/>
      <c r="C701" s="92"/>
      <c r="D701" s="82"/>
      <c r="E701" s="82"/>
      <c r="F701" s="96"/>
    </row>
    <row r="702" spans="1:6" ht="13.5">
      <c r="A702" s="86"/>
      <c r="B702" s="91"/>
      <c r="C702" s="92"/>
      <c r="D702" s="82"/>
      <c r="E702" s="82"/>
      <c r="F702" s="96"/>
    </row>
    <row r="703" spans="1:6" ht="13.5">
      <c r="A703" s="86"/>
      <c r="B703" s="91"/>
      <c r="C703" s="92"/>
      <c r="D703" s="82"/>
      <c r="E703" s="82"/>
      <c r="F703" s="96"/>
    </row>
    <row r="704" spans="1:6" ht="13.5">
      <c r="A704" s="86"/>
      <c r="B704" s="91"/>
      <c r="C704" s="92"/>
      <c r="D704" s="82"/>
      <c r="E704" s="82"/>
      <c r="F704" s="96"/>
    </row>
    <row r="705" spans="1:6" ht="13.5">
      <c r="A705" s="86"/>
      <c r="B705" s="91"/>
      <c r="C705" s="92"/>
      <c r="D705" s="82"/>
      <c r="E705" s="82"/>
      <c r="F705" s="96"/>
    </row>
    <row r="706" spans="1:6" ht="13.5">
      <c r="A706" s="86"/>
      <c r="B706" s="91"/>
      <c r="C706" s="92"/>
      <c r="D706" s="82"/>
      <c r="E706" s="82"/>
      <c r="F706" s="96"/>
    </row>
    <row r="707" spans="1:6" ht="13.5">
      <c r="A707" s="86"/>
      <c r="B707" s="91"/>
      <c r="C707" s="92"/>
      <c r="D707" s="82"/>
      <c r="E707" s="82"/>
      <c r="F707" s="96"/>
    </row>
    <row r="708" spans="1:6" ht="13.5">
      <c r="A708" s="86"/>
      <c r="B708" s="91"/>
      <c r="C708" s="92"/>
      <c r="D708" s="82"/>
      <c r="E708" s="82"/>
      <c r="F708" s="96"/>
    </row>
    <row r="709" spans="1:6" ht="13.5">
      <c r="A709" s="86"/>
      <c r="B709" s="91"/>
      <c r="C709" s="92"/>
      <c r="D709" s="82"/>
      <c r="E709" s="82"/>
      <c r="F709" s="96"/>
    </row>
    <row r="710" spans="1:6" ht="13.5">
      <c r="A710" s="86"/>
      <c r="B710" s="91"/>
      <c r="C710" s="92"/>
      <c r="D710" s="82"/>
      <c r="E710" s="82"/>
      <c r="F710" s="96"/>
    </row>
    <row r="711" spans="1:6" ht="13.5">
      <c r="A711" s="86"/>
      <c r="B711" s="91"/>
      <c r="C711" s="92"/>
      <c r="D711" s="82"/>
      <c r="E711" s="82"/>
      <c r="F711" s="96"/>
    </row>
    <row r="712" spans="1:6" ht="13.5">
      <c r="A712" s="86"/>
      <c r="B712" s="91"/>
      <c r="C712" s="92"/>
      <c r="D712" s="82"/>
      <c r="E712" s="82"/>
      <c r="F712" s="96"/>
    </row>
    <row r="713" spans="1:6" ht="13.5">
      <c r="A713" s="86"/>
      <c r="B713" s="91"/>
      <c r="C713" s="92"/>
      <c r="D713" s="82"/>
      <c r="E713" s="82"/>
      <c r="F713" s="96"/>
    </row>
    <row r="714" spans="1:6" ht="13.5">
      <c r="A714" s="86"/>
      <c r="B714" s="91"/>
      <c r="C714" s="92"/>
      <c r="D714" s="82"/>
      <c r="E714" s="82"/>
      <c r="F714" s="96"/>
    </row>
    <row r="715" spans="1:6" ht="13.5">
      <c r="A715" s="86"/>
      <c r="B715" s="91"/>
      <c r="C715" s="92"/>
      <c r="D715" s="82"/>
      <c r="E715" s="82"/>
      <c r="F715" s="96"/>
    </row>
    <row r="716" spans="1:6" ht="13.5">
      <c r="A716" s="86"/>
      <c r="B716" s="91"/>
      <c r="C716" s="92"/>
      <c r="D716" s="82"/>
      <c r="E716" s="82"/>
      <c r="F716" s="96"/>
    </row>
    <row r="717" spans="1:6" ht="13.5">
      <c r="A717" s="86"/>
      <c r="B717" s="91"/>
      <c r="C717" s="92"/>
      <c r="D717" s="82"/>
      <c r="E717" s="82"/>
      <c r="F717" s="96"/>
    </row>
    <row r="718" spans="1:6" ht="13.5">
      <c r="A718" s="86"/>
      <c r="B718" s="91"/>
      <c r="C718" s="92"/>
      <c r="D718" s="82"/>
      <c r="E718" s="82"/>
      <c r="F718" s="96"/>
    </row>
    <row r="719" spans="1:6" ht="13.5">
      <c r="A719" s="86"/>
      <c r="B719" s="91"/>
      <c r="C719" s="92"/>
      <c r="D719" s="82"/>
      <c r="E719" s="82"/>
      <c r="F719" s="96"/>
    </row>
    <row r="720" spans="1:6" ht="13.5">
      <c r="A720" s="86"/>
      <c r="B720" s="91"/>
      <c r="C720" s="92"/>
      <c r="D720" s="82"/>
      <c r="E720" s="82"/>
      <c r="F720" s="96"/>
    </row>
    <row r="721" spans="1:6" ht="13.5">
      <c r="A721" s="86"/>
      <c r="B721" s="91"/>
      <c r="C721" s="92"/>
      <c r="D721" s="82"/>
      <c r="E721" s="82"/>
      <c r="F721" s="96"/>
    </row>
    <row r="722" spans="1:6" ht="13.5">
      <c r="A722" s="86"/>
      <c r="B722" s="91"/>
      <c r="C722" s="92"/>
      <c r="D722" s="82"/>
      <c r="E722" s="82"/>
      <c r="F722" s="96"/>
    </row>
    <row r="723" spans="1:6" ht="13.5">
      <c r="A723" s="86"/>
      <c r="B723" s="91"/>
      <c r="C723" s="92"/>
      <c r="D723" s="82"/>
      <c r="E723" s="82"/>
      <c r="F723" s="96"/>
    </row>
    <row r="724" spans="1:6" ht="13.5">
      <c r="A724" s="86"/>
      <c r="B724" s="91"/>
      <c r="C724" s="92"/>
      <c r="D724" s="82"/>
      <c r="E724" s="82"/>
      <c r="F724" s="96"/>
    </row>
    <row r="725" spans="1:6" ht="13.5">
      <c r="A725" s="86"/>
      <c r="B725" s="91"/>
      <c r="C725" s="92"/>
      <c r="D725" s="82"/>
      <c r="E725" s="82"/>
      <c r="F725" s="96"/>
    </row>
    <row r="726" spans="1:6" ht="13.5">
      <c r="A726" s="86"/>
      <c r="B726" s="91"/>
      <c r="C726" s="92"/>
      <c r="D726" s="82"/>
      <c r="E726" s="82"/>
      <c r="F726" s="96"/>
    </row>
    <row r="727" spans="1:6" ht="13.5">
      <c r="A727" s="86"/>
      <c r="B727" s="91"/>
      <c r="C727" s="92"/>
      <c r="D727" s="82"/>
      <c r="E727" s="82"/>
      <c r="F727" s="96"/>
    </row>
    <row r="728" spans="1:6" ht="13.5">
      <c r="A728" s="86"/>
      <c r="B728" s="91"/>
      <c r="C728" s="92"/>
      <c r="D728" s="82"/>
      <c r="E728" s="82"/>
      <c r="F728" s="96"/>
    </row>
    <row r="729" spans="1:6" ht="13.5">
      <c r="A729" s="86"/>
      <c r="B729" s="91"/>
      <c r="C729" s="92"/>
      <c r="D729" s="82"/>
      <c r="E729" s="82"/>
      <c r="F729" s="96"/>
    </row>
    <row r="730" spans="1:6" ht="13.5">
      <c r="A730" s="86"/>
      <c r="B730" s="91"/>
      <c r="C730" s="92"/>
      <c r="D730" s="82"/>
      <c r="E730" s="82"/>
      <c r="F730" s="96"/>
    </row>
    <row r="731" spans="1:6" ht="13.5">
      <c r="A731" s="86"/>
      <c r="B731" s="91"/>
      <c r="C731" s="92"/>
      <c r="D731" s="82"/>
      <c r="E731" s="82"/>
      <c r="F731" s="96"/>
    </row>
    <row r="732" spans="1:6" ht="13.5">
      <c r="A732" s="86"/>
      <c r="B732" s="91"/>
      <c r="C732" s="92"/>
      <c r="D732" s="82"/>
      <c r="E732" s="82"/>
      <c r="F732" s="96"/>
    </row>
    <row r="733" spans="1:6" ht="13.5">
      <c r="A733" s="86"/>
      <c r="B733" s="91"/>
      <c r="C733" s="92"/>
      <c r="D733" s="82"/>
      <c r="E733" s="82"/>
      <c r="F733" s="96"/>
    </row>
    <row r="734" spans="1:6" ht="13.5">
      <c r="A734" s="86"/>
      <c r="B734" s="91"/>
      <c r="C734" s="92"/>
      <c r="D734" s="82"/>
      <c r="E734" s="82"/>
      <c r="F734" s="96"/>
    </row>
    <row r="735" spans="1:6" ht="13.5">
      <c r="A735" s="86"/>
      <c r="B735" s="91"/>
      <c r="C735" s="92"/>
      <c r="D735" s="82"/>
      <c r="E735" s="82"/>
      <c r="F735" s="96"/>
    </row>
    <row r="736" spans="1:6" ht="13.5">
      <c r="A736" s="86"/>
      <c r="B736" s="91"/>
      <c r="C736" s="92"/>
      <c r="D736" s="82"/>
      <c r="E736" s="82"/>
      <c r="F736" s="96"/>
    </row>
    <row r="737" spans="1:6" ht="13.5">
      <c r="A737" s="86"/>
      <c r="B737" s="91"/>
      <c r="C737" s="92"/>
      <c r="D737" s="82"/>
      <c r="E737" s="82"/>
      <c r="F737" s="96"/>
    </row>
    <row r="738" spans="1:6" ht="13.5">
      <c r="A738" s="86"/>
      <c r="B738" s="91"/>
      <c r="C738" s="92"/>
      <c r="D738" s="82"/>
      <c r="E738" s="82"/>
      <c r="F738" s="96"/>
    </row>
    <row r="739" spans="1:6" ht="13.5">
      <c r="A739" s="86"/>
      <c r="B739" s="91"/>
      <c r="C739" s="92"/>
      <c r="D739" s="82"/>
      <c r="E739" s="82"/>
      <c r="F739" s="96"/>
    </row>
    <row r="740" spans="1:6" ht="13.5">
      <c r="A740" s="86"/>
      <c r="B740" s="91"/>
      <c r="C740" s="92"/>
      <c r="D740" s="82"/>
      <c r="E740" s="82"/>
      <c r="F740" s="96"/>
    </row>
    <row r="741" spans="1:6" ht="13.5">
      <c r="A741" s="86"/>
      <c r="B741" s="91"/>
      <c r="C741" s="92"/>
      <c r="D741" s="82"/>
      <c r="E741" s="82"/>
      <c r="F741" s="96"/>
    </row>
    <row r="742" spans="1:6" ht="13.5">
      <c r="A742" s="86"/>
      <c r="B742" s="91"/>
      <c r="C742" s="92"/>
      <c r="D742" s="82"/>
      <c r="E742" s="82"/>
      <c r="F742" s="96"/>
    </row>
    <row r="743" spans="1:6" ht="13.5">
      <c r="A743" s="86"/>
      <c r="B743" s="91"/>
      <c r="C743" s="92"/>
      <c r="D743" s="82"/>
      <c r="E743" s="82"/>
      <c r="F743" s="96"/>
    </row>
    <row r="744" spans="1:6" ht="13.5">
      <c r="A744" s="86"/>
      <c r="B744" s="91"/>
      <c r="C744" s="92"/>
      <c r="D744" s="82"/>
      <c r="E744" s="82"/>
      <c r="F744" s="96"/>
    </row>
    <row r="745" spans="1:6" ht="13.5">
      <c r="A745" s="86"/>
      <c r="B745" s="91"/>
      <c r="C745" s="92"/>
      <c r="D745" s="82"/>
      <c r="E745" s="82"/>
      <c r="F745" s="96"/>
    </row>
    <row r="746" spans="1:6" ht="13.5">
      <c r="A746" s="86"/>
      <c r="B746" s="91"/>
      <c r="C746" s="92"/>
      <c r="D746" s="82"/>
      <c r="E746" s="82"/>
      <c r="F746" s="96"/>
    </row>
    <row r="747" spans="1:6" ht="13.5">
      <c r="A747" s="86"/>
      <c r="B747" s="91"/>
      <c r="C747" s="92"/>
      <c r="D747" s="82"/>
      <c r="E747" s="82"/>
      <c r="F747" s="96"/>
    </row>
    <row r="748" spans="1:6" ht="13.5">
      <c r="A748" s="86"/>
      <c r="B748" s="91"/>
      <c r="C748" s="92"/>
      <c r="D748" s="82"/>
      <c r="E748" s="82"/>
      <c r="F748" s="96"/>
    </row>
    <row r="749" spans="1:6" ht="13.5">
      <c r="A749" s="86"/>
      <c r="B749" s="91"/>
      <c r="C749" s="92"/>
      <c r="D749" s="82"/>
      <c r="E749" s="82"/>
      <c r="F749" s="96"/>
    </row>
    <row r="750" spans="1:6" ht="13.5">
      <c r="A750" s="86"/>
      <c r="B750" s="91"/>
      <c r="C750" s="92"/>
      <c r="D750" s="82"/>
      <c r="E750" s="82"/>
      <c r="F750" s="96"/>
    </row>
    <row r="751" spans="1:6" ht="13.5">
      <c r="A751" s="86"/>
      <c r="B751" s="91"/>
      <c r="C751" s="92"/>
      <c r="D751" s="82"/>
      <c r="E751" s="82"/>
      <c r="F751" s="96"/>
    </row>
    <row r="752" spans="1:6" ht="13.5">
      <c r="A752" s="86"/>
      <c r="B752" s="91"/>
      <c r="C752" s="92"/>
      <c r="D752" s="82"/>
      <c r="E752" s="82"/>
      <c r="F752" s="96"/>
    </row>
    <row r="753" spans="1:6" ht="13.5">
      <c r="A753" s="86"/>
      <c r="B753" s="91"/>
      <c r="C753" s="92"/>
      <c r="D753" s="82"/>
      <c r="E753" s="82"/>
      <c r="F753" s="96"/>
    </row>
    <row r="754" spans="1:6" ht="13.5">
      <c r="A754" s="86"/>
      <c r="B754" s="91"/>
      <c r="C754" s="92"/>
      <c r="D754" s="82"/>
      <c r="E754" s="82"/>
      <c r="F754" s="96"/>
    </row>
    <row r="755" spans="1:6" ht="13.5">
      <c r="A755" s="86"/>
      <c r="B755" s="91"/>
      <c r="C755" s="92"/>
      <c r="D755" s="82"/>
      <c r="E755" s="82"/>
      <c r="F755" s="96"/>
    </row>
    <row r="756" spans="1:6" ht="13.5">
      <c r="A756" s="86"/>
      <c r="B756" s="91"/>
      <c r="C756" s="92"/>
      <c r="D756" s="82"/>
      <c r="E756" s="82"/>
      <c r="F756" s="96"/>
    </row>
    <row r="757" spans="1:6" ht="13.5">
      <c r="A757" s="86"/>
      <c r="B757" s="91"/>
      <c r="C757" s="92"/>
      <c r="D757" s="82"/>
      <c r="E757" s="82"/>
      <c r="F757" s="96"/>
    </row>
    <row r="758" spans="1:6" ht="13.5">
      <c r="A758" s="86"/>
      <c r="B758" s="91"/>
      <c r="C758" s="92"/>
      <c r="D758" s="82"/>
      <c r="E758" s="82"/>
      <c r="F758" s="96"/>
    </row>
    <row r="759" spans="1:6" ht="13.5">
      <c r="A759" s="86"/>
      <c r="B759" s="91"/>
      <c r="C759" s="92"/>
      <c r="D759" s="82"/>
      <c r="E759" s="82"/>
      <c r="F759" s="96"/>
    </row>
    <row r="760" spans="1:6" ht="13.5">
      <c r="A760" s="86"/>
      <c r="B760" s="91"/>
      <c r="C760" s="92"/>
      <c r="D760" s="82"/>
      <c r="E760" s="82"/>
      <c r="F760" s="96"/>
    </row>
    <row r="761" spans="1:6" ht="13.5">
      <c r="A761" s="86"/>
      <c r="B761" s="91"/>
      <c r="C761" s="92"/>
      <c r="D761" s="82"/>
      <c r="E761" s="82"/>
      <c r="F761" s="96"/>
    </row>
    <row r="762" spans="1:6" ht="13.5">
      <c r="A762" s="86"/>
      <c r="B762" s="91"/>
      <c r="C762" s="92"/>
      <c r="D762" s="82"/>
      <c r="E762" s="82"/>
      <c r="F762" s="96"/>
    </row>
    <row r="763" spans="1:6" ht="13.5">
      <c r="A763" s="86"/>
      <c r="B763" s="91"/>
      <c r="C763" s="92"/>
      <c r="D763" s="82"/>
      <c r="E763" s="82"/>
      <c r="F763" s="96"/>
    </row>
    <row r="764" spans="1:6" ht="13.5">
      <c r="A764" s="86"/>
      <c r="B764" s="91"/>
      <c r="C764" s="92"/>
      <c r="D764" s="82"/>
      <c r="E764" s="82"/>
      <c r="F764" s="96"/>
    </row>
    <row r="765" spans="1:6" ht="13.5">
      <c r="A765" s="86"/>
      <c r="B765" s="91"/>
      <c r="C765" s="92"/>
      <c r="D765" s="82"/>
      <c r="E765" s="82"/>
      <c r="F765" s="96"/>
    </row>
    <row r="766" spans="1:6" ht="13.5">
      <c r="A766" s="86"/>
      <c r="B766" s="91"/>
      <c r="C766" s="92"/>
      <c r="D766" s="82"/>
      <c r="E766" s="82"/>
      <c r="F766" s="96"/>
    </row>
    <row r="767" spans="1:6" ht="13.5">
      <c r="A767" s="86"/>
      <c r="B767" s="91"/>
      <c r="C767" s="92"/>
      <c r="D767" s="82"/>
      <c r="E767" s="82"/>
      <c r="F767" s="96"/>
    </row>
    <row r="768" spans="1:6" ht="13.5">
      <c r="A768" s="86"/>
      <c r="B768" s="91"/>
      <c r="C768" s="92"/>
      <c r="D768" s="82"/>
      <c r="E768" s="82"/>
      <c r="F768" s="96"/>
    </row>
    <row r="769" spans="1:6" ht="13.5">
      <c r="A769" s="86"/>
      <c r="B769" s="91"/>
      <c r="C769" s="92"/>
      <c r="D769" s="82"/>
      <c r="E769" s="82"/>
      <c r="F769" s="96"/>
    </row>
    <row r="770" spans="1:6" ht="13.5">
      <c r="A770" s="86"/>
      <c r="B770" s="91"/>
      <c r="C770" s="92"/>
      <c r="D770" s="82"/>
      <c r="E770" s="82"/>
      <c r="F770" s="96"/>
    </row>
    <row r="771" spans="1:6" ht="13.5">
      <c r="A771" s="86"/>
      <c r="B771" s="91"/>
      <c r="C771" s="92"/>
      <c r="D771" s="82"/>
      <c r="E771" s="82"/>
      <c r="F771" s="96"/>
    </row>
    <row r="772" spans="1:6" ht="13.5">
      <c r="A772" s="86"/>
      <c r="B772" s="91"/>
      <c r="C772" s="92"/>
      <c r="D772" s="82"/>
      <c r="E772" s="82"/>
      <c r="F772" s="96"/>
    </row>
    <row r="773" spans="1:6" ht="13.5">
      <c r="A773" s="86"/>
      <c r="B773" s="91"/>
      <c r="C773" s="92"/>
      <c r="D773" s="82"/>
      <c r="E773" s="82"/>
      <c r="F773" s="96"/>
    </row>
    <row r="774" spans="1:6" ht="13.5">
      <c r="A774" s="86"/>
      <c r="B774" s="91"/>
      <c r="C774" s="92"/>
      <c r="D774" s="82"/>
      <c r="E774" s="82"/>
      <c r="F774" s="96"/>
    </row>
    <row r="775" spans="1:6" ht="13.5">
      <c r="A775" s="86"/>
      <c r="B775" s="91"/>
      <c r="C775" s="92"/>
      <c r="D775" s="82"/>
      <c r="E775" s="82"/>
      <c r="F775" s="96"/>
    </row>
    <row r="776" spans="1:6" ht="13.5">
      <c r="A776" s="86"/>
      <c r="B776" s="91"/>
      <c r="C776" s="92"/>
      <c r="D776" s="82"/>
      <c r="E776" s="82"/>
      <c r="F776" s="96"/>
    </row>
    <row r="777" spans="1:6" ht="13.5">
      <c r="A777" s="86"/>
      <c r="B777" s="91"/>
      <c r="C777" s="92"/>
      <c r="D777" s="82"/>
      <c r="E777" s="82"/>
      <c r="F777" s="96"/>
    </row>
    <row r="778" spans="1:6" ht="13.5">
      <c r="A778" s="86"/>
      <c r="B778" s="91"/>
      <c r="C778" s="92"/>
      <c r="D778" s="82"/>
      <c r="E778" s="82"/>
      <c r="F778" s="96"/>
    </row>
    <row r="779" spans="1:6" ht="13.5">
      <c r="A779" s="86"/>
      <c r="B779" s="91"/>
      <c r="C779" s="92"/>
      <c r="D779" s="82"/>
      <c r="E779" s="82"/>
      <c r="F779" s="96"/>
    </row>
    <row r="780" spans="1:6" ht="13.5">
      <c r="A780" s="86"/>
      <c r="B780" s="91"/>
      <c r="C780" s="92"/>
      <c r="D780" s="82"/>
      <c r="E780" s="82"/>
      <c r="F780" s="96"/>
    </row>
    <row r="781" spans="1:6" ht="13.5">
      <c r="A781" s="86"/>
      <c r="B781" s="91"/>
      <c r="C781" s="92"/>
      <c r="D781" s="82"/>
      <c r="E781" s="82"/>
      <c r="F781" s="96"/>
    </row>
    <row r="782" spans="1:6" ht="13.5">
      <c r="A782" s="86"/>
      <c r="B782" s="91"/>
      <c r="C782" s="92"/>
      <c r="D782" s="82"/>
      <c r="E782" s="82"/>
      <c r="F782" s="96"/>
    </row>
    <row r="783" spans="1:6" ht="13.5">
      <c r="A783" s="86"/>
      <c r="B783" s="91"/>
      <c r="C783" s="92"/>
      <c r="D783" s="82"/>
      <c r="E783" s="82"/>
      <c r="F783" s="96"/>
    </row>
    <row r="784" spans="1:6" ht="13.5">
      <c r="A784" s="86"/>
      <c r="B784" s="91"/>
      <c r="C784" s="92"/>
      <c r="D784" s="82"/>
      <c r="E784" s="82"/>
      <c r="F784" s="96"/>
    </row>
    <row r="785" spans="1:6" ht="13.5">
      <c r="A785" s="86"/>
      <c r="B785" s="91"/>
      <c r="C785" s="92"/>
      <c r="D785" s="82"/>
      <c r="E785" s="82"/>
      <c r="F785" s="96"/>
    </row>
    <row r="786" spans="1:6" ht="13.5">
      <c r="A786" s="86"/>
      <c r="B786" s="91"/>
      <c r="C786" s="92"/>
      <c r="D786" s="82"/>
      <c r="E786" s="82"/>
      <c r="F786" s="96"/>
    </row>
    <row r="787" spans="1:6" ht="13.5">
      <c r="A787" s="86"/>
      <c r="B787" s="91"/>
      <c r="C787" s="92"/>
      <c r="D787" s="82"/>
      <c r="E787" s="82"/>
      <c r="F787" s="96"/>
    </row>
    <row r="788" spans="1:6" ht="13.5">
      <c r="A788" s="86"/>
      <c r="B788" s="91"/>
      <c r="C788" s="92"/>
      <c r="D788" s="82"/>
      <c r="E788" s="82"/>
      <c r="F788" s="96"/>
    </row>
    <row r="789" spans="1:6" ht="13.5">
      <c r="A789" s="86"/>
      <c r="B789" s="91"/>
      <c r="C789" s="92"/>
      <c r="D789" s="82"/>
      <c r="E789" s="82"/>
      <c r="F789" s="96"/>
    </row>
    <row r="790" spans="1:6" ht="13.5">
      <c r="A790" s="86"/>
      <c r="B790" s="91"/>
      <c r="C790" s="92"/>
      <c r="D790" s="82"/>
      <c r="E790" s="82"/>
      <c r="F790" s="96"/>
    </row>
    <row r="791" spans="1:6" ht="13.5">
      <c r="A791" s="86"/>
      <c r="B791" s="91"/>
      <c r="C791" s="92"/>
      <c r="D791" s="82"/>
      <c r="E791" s="82"/>
      <c r="F791" s="96"/>
    </row>
    <row r="792" spans="1:6" ht="13.5">
      <c r="A792" s="86"/>
      <c r="B792" s="91"/>
      <c r="C792" s="92"/>
      <c r="D792" s="82"/>
      <c r="E792" s="82"/>
      <c r="F792" s="96"/>
    </row>
    <row r="793" spans="1:6" ht="13.5">
      <c r="A793" s="86"/>
      <c r="B793" s="91"/>
      <c r="C793" s="92"/>
      <c r="D793" s="82"/>
      <c r="E793" s="82"/>
      <c r="F793" s="96"/>
    </row>
    <row r="794" spans="1:6" ht="13.5">
      <c r="A794" s="86"/>
      <c r="B794" s="91"/>
      <c r="C794" s="92"/>
      <c r="D794" s="82"/>
      <c r="E794" s="82"/>
      <c r="F794" s="96"/>
    </row>
    <row r="795" spans="1:6" ht="13.5">
      <c r="A795" s="86"/>
      <c r="B795" s="91"/>
      <c r="C795" s="92"/>
      <c r="D795" s="82"/>
      <c r="E795" s="82"/>
      <c r="F795" s="96"/>
    </row>
    <row r="796" spans="1:6" ht="13.5">
      <c r="A796" s="86"/>
      <c r="B796" s="91"/>
      <c r="C796" s="92"/>
      <c r="D796" s="82"/>
      <c r="E796" s="82"/>
      <c r="F796" s="96"/>
    </row>
    <row r="797" spans="1:6" ht="13.5">
      <c r="A797" s="86"/>
      <c r="B797" s="91"/>
      <c r="C797" s="92"/>
      <c r="D797" s="82"/>
      <c r="E797" s="82"/>
      <c r="F797" s="96"/>
    </row>
    <row r="798" spans="1:6" ht="13.5">
      <c r="A798" s="86"/>
      <c r="B798" s="91"/>
      <c r="C798" s="92"/>
      <c r="D798" s="82"/>
      <c r="E798" s="82"/>
      <c r="F798" s="96"/>
    </row>
    <row r="799" spans="1:6" ht="13.5">
      <c r="A799" s="86"/>
      <c r="B799" s="91"/>
      <c r="C799" s="92"/>
      <c r="D799" s="82"/>
      <c r="E799" s="82"/>
      <c r="F799" s="96"/>
    </row>
    <row r="800" spans="1:6" ht="13.5">
      <c r="A800" s="86"/>
      <c r="B800" s="91"/>
      <c r="C800" s="92"/>
      <c r="D800" s="82"/>
      <c r="E800" s="82"/>
      <c r="F800" s="96"/>
    </row>
    <row r="801" spans="1:6" ht="13.5">
      <c r="A801" s="86"/>
      <c r="B801" s="91"/>
      <c r="C801" s="92"/>
      <c r="D801" s="82"/>
      <c r="E801" s="82"/>
      <c r="F801" s="96"/>
    </row>
    <row r="802" spans="1:6" ht="13.5">
      <c r="A802" s="86"/>
      <c r="B802" s="91"/>
      <c r="C802" s="92"/>
      <c r="D802" s="82"/>
      <c r="E802" s="82"/>
      <c r="F802" s="96"/>
    </row>
    <row r="803" spans="1:6" ht="13.5">
      <c r="A803" s="86"/>
      <c r="B803" s="91"/>
      <c r="C803" s="92"/>
      <c r="D803" s="82"/>
      <c r="E803" s="82"/>
      <c r="F803" s="96"/>
    </row>
    <row r="804" spans="1:6" ht="13.5">
      <c r="A804" s="86"/>
      <c r="B804" s="91"/>
      <c r="C804" s="92"/>
      <c r="D804" s="82"/>
      <c r="E804" s="82"/>
      <c r="F804" s="96"/>
    </row>
    <row r="805" spans="1:6" ht="13.5">
      <c r="A805" s="86"/>
      <c r="B805" s="91"/>
      <c r="C805" s="92"/>
      <c r="D805" s="82"/>
      <c r="E805" s="82"/>
      <c r="F805" s="96"/>
    </row>
    <row r="806" spans="1:6" ht="13.5">
      <c r="A806" s="86"/>
      <c r="B806" s="91"/>
      <c r="C806" s="92"/>
      <c r="D806" s="82"/>
      <c r="E806" s="82"/>
      <c r="F806" s="96"/>
    </row>
    <row r="807" spans="1:6" ht="13.5">
      <c r="A807" s="86"/>
      <c r="B807" s="91"/>
      <c r="C807" s="92"/>
      <c r="D807" s="82"/>
      <c r="E807" s="82"/>
      <c r="F807" s="96"/>
    </row>
    <row r="808" spans="1:6" ht="13.5">
      <c r="A808" s="86"/>
      <c r="B808" s="91"/>
      <c r="C808" s="92"/>
      <c r="D808" s="82"/>
      <c r="E808" s="82"/>
      <c r="F808" s="96"/>
    </row>
    <row r="809" spans="1:6" ht="13.5">
      <c r="A809" s="86"/>
      <c r="B809" s="91"/>
      <c r="C809" s="92"/>
      <c r="D809" s="82"/>
      <c r="E809" s="82"/>
      <c r="F809" s="96"/>
    </row>
    <row r="810" spans="1:6" ht="13.5">
      <c r="A810" s="86"/>
      <c r="B810" s="91"/>
      <c r="C810" s="92"/>
      <c r="D810" s="82"/>
      <c r="E810" s="82"/>
      <c r="F810" s="96"/>
    </row>
    <row r="811" spans="1:6" ht="13.5">
      <c r="A811" s="86"/>
      <c r="B811" s="91"/>
      <c r="C811" s="92"/>
      <c r="D811" s="82"/>
      <c r="E811" s="82"/>
      <c r="F811" s="96"/>
    </row>
    <row r="812" spans="1:6" ht="13.5">
      <c r="A812" s="86"/>
      <c r="B812" s="91"/>
      <c r="C812" s="92"/>
      <c r="D812" s="82"/>
      <c r="E812" s="82"/>
      <c r="F812" s="96"/>
    </row>
    <row r="813" spans="1:6" ht="13.5">
      <c r="A813" s="86"/>
      <c r="B813" s="91"/>
      <c r="C813" s="92"/>
      <c r="D813" s="82"/>
      <c r="E813" s="82"/>
      <c r="F813" s="96"/>
    </row>
    <row r="814" spans="1:6" ht="13.5">
      <c r="A814" s="86"/>
      <c r="B814" s="91"/>
      <c r="C814" s="92"/>
      <c r="D814" s="82"/>
      <c r="E814" s="82"/>
      <c r="F814" s="96"/>
    </row>
    <row r="815" spans="1:6" ht="13.5">
      <c r="A815" s="86"/>
      <c r="B815" s="91"/>
      <c r="C815" s="92"/>
      <c r="D815" s="82"/>
      <c r="E815" s="82"/>
      <c r="F815" s="96"/>
    </row>
    <row r="816" spans="1:6" ht="13.5">
      <c r="A816" s="86"/>
      <c r="B816" s="91"/>
      <c r="C816" s="92"/>
      <c r="D816" s="82"/>
      <c r="E816" s="82"/>
      <c r="F816" s="96"/>
    </row>
    <row r="817" spans="1:6" ht="13.5">
      <c r="A817" s="86"/>
      <c r="B817" s="91"/>
      <c r="C817" s="92"/>
      <c r="D817" s="82"/>
      <c r="E817" s="82"/>
      <c r="F817" s="96"/>
    </row>
    <row r="818" spans="1:6" ht="13.5">
      <c r="A818" s="86"/>
      <c r="B818" s="91"/>
      <c r="C818" s="92"/>
      <c r="D818" s="82"/>
      <c r="E818" s="82"/>
      <c r="F818" s="96"/>
    </row>
    <row r="819" spans="1:6" ht="13.5">
      <c r="A819" s="86"/>
      <c r="B819" s="91"/>
      <c r="C819" s="92"/>
      <c r="D819" s="82"/>
      <c r="E819" s="82"/>
      <c r="F819" s="96"/>
    </row>
    <row r="820" spans="1:6" ht="13.5">
      <c r="A820" s="86"/>
      <c r="B820" s="91"/>
      <c r="C820" s="92"/>
      <c r="D820" s="82"/>
      <c r="E820" s="82"/>
      <c r="F820" s="96"/>
    </row>
    <row r="821" spans="1:6" ht="13.5">
      <c r="A821" s="86"/>
      <c r="B821" s="91"/>
      <c r="C821" s="92"/>
      <c r="D821" s="82"/>
      <c r="E821" s="82"/>
      <c r="F821" s="96"/>
    </row>
    <row r="822" spans="1:6" ht="13.5">
      <c r="A822" s="86"/>
      <c r="B822" s="91"/>
      <c r="C822" s="92"/>
      <c r="D822" s="82"/>
      <c r="E822" s="82"/>
      <c r="F822" s="96"/>
    </row>
    <row r="823" spans="1:6" ht="13.5">
      <c r="A823" s="86"/>
      <c r="B823" s="91"/>
      <c r="C823" s="92"/>
      <c r="D823" s="82"/>
      <c r="E823" s="82"/>
      <c r="F823" s="96"/>
    </row>
    <row r="824" spans="1:6" ht="13.5">
      <c r="A824" s="86"/>
      <c r="B824" s="91"/>
      <c r="C824" s="92"/>
      <c r="D824" s="82"/>
      <c r="E824" s="82"/>
      <c r="F824" s="96"/>
    </row>
    <row r="825" spans="1:6" ht="13.5">
      <c r="A825" s="86"/>
      <c r="B825" s="91"/>
      <c r="C825" s="92"/>
      <c r="D825" s="82"/>
      <c r="E825" s="82"/>
      <c r="F825" s="96"/>
    </row>
    <row r="826" spans="1:6" ht="13.5">
      <c r="A826" s="86"/>
      <c r="B826" s="91"/>
      <c r="C826" s="92"/>
      <c r="D826" s="82"/>
      <c r="E826" s="82"/>
      <c r="F826" s="96"/>
    </row>
    <row r="827" spans="1:6" ht="13.5">
      <c r="A827" s="86"/>
      <c r="B827" s="91"/>
      <c r="C827" s="92"/>
      <c r="D827" s="82"/>
      <c r="E827" s="82"/>
      <c r="F827" s="96"/>
    </row>
    <row r="828" spans="1:6" ht="13.5">
      <c r="A828" s="86"/>
      <c r="B828" s="91"/>
      <c r="C828" s="92"/>
      <c r="D828" s="82"/>
      <c r="E828" s="82"/>
      <c r="F828" s="96"/>
    </row>
    <row r="829" spans="1:6" ht="13.5">
      <c r="A829" s="86"/>
      <c r="B829" s="91"/>
      <c r="C829" s="92"/>
      <c r="D829" s="82"/>
      <c r="E829" s="82"/>
      <c r="F829" s="96"/>
    </row>
    <row r="830" spans="1:6" ht="13.5">
      <c r="A830" s="86"/>
      <c r="B830" s="91"/>
      <c r="C830" s="92"/>
      <c r="D830" s="82"/>
      <c r="E830" s="82"/>
      <c r="F830" s="96"/>
    </row>
    <row r="831" spans="1:6" ht="13.5">
      <c r="A831" s="86"/>
      <c r="B831" s="91"/>
      <c r="C831" s="92"/>
      <c r="D831" s="82"/>
      <c r="E831" s="82"/>
      <c r="F831" s="96"/>
    </row>
    <row r="832" spans="1:6" ht="13.5">
      <c r="A832" s="86"/>
      <c r="B832" s="91"/>
      <c r="C832" s="92"/>
      <c r="D832" s="82"/>
      <c r="E832" s="82"/>
      <c r="F832" s="96"/>
    </row>
    <row r="833" spans="1:6" ht="13.5">
      <c r="A833" s="86"/>
      <c r="B833" s="91"/>
      <c r="C833" s="92"/>
      <c r="D833" s="82"/>
      <c r="E833" s="82"/>
      <c r="F833" s="96"/>
    </row>
    <row r="834" spans="1:6" ht="13.5">
      <c r="A834" s="86"/>
      <c r="B834" s="91"/>
      <c r="C834" s="92"/>
      <c r="D834" s="82"/>
      <c r="E834" s="82"/>
      <c r="F834" s="96"/>
    </row>
    <row r="835" spans="1:6" ht="13.5">
      <c r="A835" s="86"/>
      <c r="B835" s="91"/>
      <c r="C835" s="92"/>
      <c r="D835" s="82"/>
      <c r="E835" s="82"/>
      <c r="F835" s="96"/>
    </row>
    <row r="836" spans="1:6" ht="13.5">
      <c r="A836" s="86"/>
      <c r="B836" s="91"/>
      <c r="C836" s="92"/>
      <c r="D836" s="82"/>
      <c r="E836" s="82"/>
      <c r="F836" s="96"/>
    </row>
    <row r="837" spans="1:6" ht="13.5">
      <c r="A837" s="86"/>
      <c r="B837" s="91"/>
      <c r="C837" s="92"/>
      <c r="D837" s="82"/>
      <c r="E837" s="82"/>
      <c r="F837" s="96"/>
    </row>
    <row r="838" spans="1:6" ht="13.5">
      <c r="A838" s="86"/>
      <c r="B838" s="91"/>
      <c r="C838" s="92"/>
      <c r="D838" s="82"/>
      <c r="E838" s="82"/>
      <c r="F838" s="96"/>
    </row>
    <row r="839" spans="1:6" ht="13.5">
      <c r="A839" s="86"/>
      <c r="B839" s="91"/>
      <c r="C839" s="92"/>
      <c r="D839" s="82"/>
      <c r="E839" s="82"/>
      <c r="F839" s="96"/>
    </row>
    <row r="840" spans="1:6" ht="13.5">
      <c r="A840" s="86"/>
      <c r="B840" s="91"/>
      <c r="C840" s="92"/>
      <c r="D840" s="82"/>
      <c r="E840" s="82"/>
      <c r="F840" s="96"/>
    </row>
    <row r="841" spans="1:6" ht="13.5">
      <c r="A841" s="86"/>
      <c r="B841" s="91"/>
      <c r="C841" s="92"/>
      <c r="D841" s="82"/>
      <c r="E841" s="82"/>
      <c r="F841" s="96"/>
    </row>
    <row r="842" spans="1:6" ht="13.5">
      <c r="A842" s="86"/>
      <c r="B842" s="91"/>
      <c r="C842" s="92"/>
      <c r="D842" s="82"/>
      <c r="E842" s="82"/>
      <c r="F842" s="96"/>
    </row>
    <row r="843" spans="1:6" ht="13.5">
      <c r="A843" s="86"/>
      <c r="B843" s="91"/>
      <c r="C843" s="92"/>
      <c r="D843" s="82"/>
      <c r="E843" s="82"/>
      <c r="F843" s="96"/>
    </row>
    <row r="844" spans="1:6" ht="13.5">
      <c r="A844" s="86"/>
      <c r="B844" s="91"/>
      <c r="C844" s="92"/>
      <c r="D844" s="82"/>
      <c r="E844" s="82"/>
      <c r="F844" s="96"/>
    </row>
    <row r="845" spans="1:6" ht="13.5">
      <c r="A845" s="86"/>
      <c r="B845" s="91"/>
      <c r="C845" s="92"/>
      <c r="D845" s="82"/>
      <c r="E845" s="82"/>
      <c r="F845" s="96"/>
    </row>
    <row r="846" spans="1:6" ht="13.5">
      <c r="A846" s="86"/>
      <c r="B846" s="91"/>
      <c r="C846" s="92"/>
      <c r="D846" s="82"/>
      <c r="E846" s="82"/>
      <c r="F846" s="96"/>
    </row>
    <row r="847" spans="1:6" ht="13.5">
      <c r="A847" s="86"/>
      <c r="B847" s="91"/>
      <c r="C847" s="92"/>
      <c r="D847" s="82"/>
      <c r="E847" s="82"/>
      <c r="F847" s="96"/>
    </row>
    <row r="848" spans="1:6" ht="13.5">
      <c r="A848" s="86"/>
      <c r="B848" s="91"/>
      <c r="C848" s="92"/>
      <c r="D848" s="82"/>
      <c r="E848" s="82"/>
      <c r="F848" s="96"/>
    </row>
    <row r="849" spans="1:6" ht="13.5">
      <c r="A849" s="86"/>
      <c r="B849" s="91"/>
      <c r="C849" s="92"/>
      <c r="D849" s="82"/>
      <c r="E849" s="82"/>
      <c r="F849" s="96"/>
    </row>
    <row r="850" spans="1:6" ht="13.5">
      <c r="A850" s="86"/>
      <c r="B850" s="91"/>
      <c r="C850" s="92"/>
      <c r="D850" s="82"/>
      <c r="E850" s="82"/>
      <c r="F850" s="96"/>
    </row>
    <row r="851" spans="1:6" ht="13.5">
      <c r="A851" s="86"/>
      <c r="B851" s="91"/>
      <c r="C851" s="92"/>
      <c r="D851" s="82"/>
      <c r="E851" s="82"/>
      <c r="F851" s="96"/>
    </row>
    <row r="852" spans="1:6" ht="13.5">
      <c r="A852" s="86"/>
      <c r="B852" s="91"/>
      <c r="C852" s="92"/>
      <c r="D852" s="82"/>
      <c r="E852" s="82"/>
      <c r="F852" s="96"/>
    </row>
    <row r="853" spans="1:6" ht="13.5">
      <c r="A853" s="86"/>
      <c r="B853" s="91"/>
      <c r="C853" s="92"/>
      <c r="D853" s="82"/>
      <c r="E853" s="82"/>
      <c r="F853" s="96"/>
    </row>
    <row r="854" spans="1:6" ht="13.5">
      <c r="A854" s="86"/>
      <c r="B854" s="91"/>
      <c r="C854" s="92"/>
      <c r="D854" s="82"/>
      <c r="E854" s="82"/>
      <c r="F854" s="96"/>
    </row>
    <row r="855" spans="1:6" ht="13.5">
      <c r="A855" s="86"/>
      <c r="B855" s="91"/>
      <c r="C855" s="92"/>
      <c r="D855" s="82"/>
      <c r="E855" s="82"/>
      <c r="F855" s="96"/>
    </row>
    <row r="856" spans="1:6" ht="13.5">
      <c r="A856" s="86"/>
      <c r="B856" s="91"/>
      <c r="C856" s="92"/>
      <c r="D856" s="82"/>
      <c r="E856" s="82"/>
      <c r="F856" s="96"/>
    </row>
    <row r="857" spans="1:6" ht="13.5">
      <c r="A857" s="86"/>
      <c r="B857" s="91"/>
      <c r="C857" s="92"/>
      <c r="D857" s="82"/>
      <c r="E857" s="82"/>
      <c r="F857" s="96"/>
    </row>
    <row r="858" spans="1:6" ht="13.5">
      <c r="A858" s="86"/>
      <c r="B858" s="91"/>
      <c r="C858" s="92"/>
      <c r="D858" s="82"/>
      <c r="E858" s="82"/>
      <c r="F858" s="96"/>
    </row>
    <row r="859" spans="1:6" ht="13.5">
      <c r="A859" s="86"/>
      <c r="B859" s="91"/>
      <c r="C859" s="92"/>
      <c r="D859" s="82"/>
      <c r="E859" s="82"/>
      <c r="F859" s="96"/>
    </row>
    <row r="860" spans="1:6" ht="13.5">
      <c r="A860" s="86"/>
      <c r="B860" s="91"/>
      <c r="C860" s="92"/>
      <c r="D860" s="82"/>
      <c r="E860" s="82"/>
      <c r="F860" s="96"/>
    </row>
    <row r="861" spans="1:6" ht="13.5">
      <c r="A861" s="86"/>
      <c r="B861" s="91"/>
      <c r="C861" s="92"/>
      <c r="D861" s="82"/>
      <c r="E861" s="82"/>
      <c r="F861" s="96"/>
    </row>
    <row r="862" spans="1:6" ht="13.5">
      <c r="A862" s="86"/>
      <c r="B862" s="91"/>
      <c r="C862" s="92"/>
      <c r="D862" s="82"/>
      <c r="E862" s="82"/>
      <c r="F862" s="96"/>
    </row>
    <row r="863" spans="1:6" ht="13.5">
      <c r="A863" s="86"/>
      <c r="B863" s="91"/>
      <c r="C863" s="92"/>
      <c r="D863" s="82"/>
      <c r="E863" s="82"/>
      <c r="F863" s="96"/>
    </row>
    <row r="864" spans="1:6" ht="13.5">
      <c r="A864" s="86"/>
      <c r="B864" s="91"/>
      <c r="C864" s="92"/>
      <c r="D864" s="82"/>
      <c r="E864" s="82"/>
      <c r="F864" s="96"/>
    </row>
    <row r="865" spans="1:6" ht="13.5">
      <c r="A865" s="86"/>
      <c r="B865" s="91"/>
      <c r="C865" s="92"/>
      <c r="D865" s="82"/>
      <c r="E865" s="82"/>
      <c r="F865" s="96"/>
    </row>
    <row r="866" spans="1:6" ht="13.5">
      <c r="A866" s="86"/>
      <c r="B866" s="91"/>
      <c r="C866" s="92"/>
      <c r="D866" s="82"/>
      <c r="E866" s="82"/>
      <c r="F866" s="96"/>
    </row>
    <row r="867" spans="1:6" ht="13.5">
      <c r="A867" s="86"/>
      <c r="B867" s="91"/>
      <c r="C867" s="92"/>
      <c r="D867" s="82"/>
      <c r="E867" s="82"/>
      <c r="F867" s="96"/>
    </row>
    <row r="868" spans="1:6" ht="13.5">
      <c r="A868" s="86"/>
      <c r="B868" s="91"/>
      <c r="C868" s="92"/>
      <c r="D868" s="82"/>
      <c r="E868" s="82"/>
      <c r="F868" s="96"/>
    </row>
    <row r="869" spans="1:6" ht="13.5">
      <c r="A869" s="86"/>
      <c r="B869" s="91"/>
      <c r="C869" s="92"/>
      <c r="D869" s="82"/>
      <c r="E869" s="82"/>
      <c r="F869" s="96"/>
    </row>
    <row r="870" spans="1:6" ht="13.5">
      <c r="A870" s="86"/>
      <c r="B870" s="91"/>
      <c r="C870" s="92"/>
      <c r="D870" s="82"/>
      <c r="E870" s="82"/>
      <c r="F870" s="96"/>
    </row>
    <row r="871" spans="1:6" ht="13.5">
      <c r="A871" s="86"/>
      <c r="B871" s="91"/>
      <c r="C871" s="92"/>
      <c r="D871" s="82"/>
      <c r="E871" s="82"/>
      <c r="F871" s="96"/>
    </row>
    <row r="872" spans="1:6" ht="13.5">
      <c r="A872" s="86"/>
      <c r="B872" s="91"/>
      <c r="C872" s="92"/>
      <c r="D872" s="82"/>
      <c r="E872" s="82"/>
      <c r="F872" s="96"/>
    </row>
    <row r="873" spans="1:6" ht="13.5">
      <c r="A873" s="86"/>
      <c r="B873" s="91"/>
      <c r="C873" s="92"/>
      <c r="D873" s="82"/>
      <c r="E873" s="82"/>
      <c r="F873" s="96"/>
    </row>
    <row r="874" spans="1:6" ht="13.5">
      <c r="A874" s="86"/>
      <c r="B874" s="91"/>
      <c r="C874" s="92"/>
      <c r="D874" s="82"/>
      <c r="E874" s="82"/>
      <c r="F874" s="96"/>
    </row>
    <row r="875" spans="1:6" ht="13.5">
      <c r="A875" s="86"/>
      <c r="B875" s="91"/>
      <c r="C875" s="92"/>
      <c r="D875" s="82"/>
      <c r="E875" s="82"/>
      <c r="F875" s="96"/>
    </row>
    <row r="876" spans="1:6" ht="13.5">
      <c r="A876" s="86"/>
      <c r="B876" s="91"/>
      <c r="C876" s="92"/>
      <c r="D876" s="82"/>
      <c r="E876" s="82"/>
      <c r="F876" s="96"/>
    </row>
    <row r="877" spans="1:6" ht="13.5">
      <c r="A877" s="86"/>
      <c r="B877" s="91"/>
      <c r="C877" s="92"/>
      <c r="D877" s="82"/>
      <c r="E877" s="82"/>
      <c r="F877" s="96"/>
    </row>
    <row r="878" spans="1:6" ht="13.5">
      <c r="A878" s="86"/>
      <c r="B878" s="91"/>
      <c r="C878" s="92"/>
      <c r="D878" s="82"/>
      <c r="E878" s="82"/>
      <c r="F878" s="96"/>
    </row>
    <row r="879" spans="1:6" ht="13.5">
      <c r="A879" s="86"/>
      <c r="B879" s="91"/>
      <c r="C879" s="92"/>
      <c r="D879" s="82"/>
      <c r="E879" s="82"/>
      <c r="F879" s="96"/>
    </row>
    <row r="880" spans="1:6" ht="13.5">
      <c r="A880" s="86"/>
      <c r="B880" s="91"/>
      <c r="C880" s="92"/>
      <c r="D880" s="82"/>
      <c r="E880" s="82"/>
      <c r="F880" s="96"/>
    </row>
    <row r="881" spans="1:6" ht="13.5">
      <c r="A881" s="86"/>
      <c r="B881" s="91"/>
      <c r="C881" s="92"/>
      <c r="D881" s="82"/>
      <c r="E881" s="82"/>
      <c r="F881" s="96"/>
    </row>
    <row r="882" spans="1:6" ht="13.5">
      <c r="A882" s="86"/>
      <c r="B882" s="91"/>
      <c r="C882" s="92"/>
      <c r="D882" s="82"/>
      <c r="E882" s="82"/>
      <c r="F882" s="96"/>
    </row>
    <row r="883" spans="1:6" ht="13.5">
      <c r="A883" s="86"/>
      <c r="B883" s="91"/>
      <c r="C883" s="92"/>
      <c r="D883" s="82"/>
      <c r="E883" s="82"/>
      <c r="F883" s="96"/>
    </row>
    <row r="884" spans="1:6" ht="13.5">
      <c r="A884" s="86"/>
      <c r="B884" s="91"/>
      <c r="C884" s="92"/>
      <c r="D884" s="82"/>
      <c r="E884" s="82"/>
      <c r="F884" s="96"/>
    </row>
    <row r="885" spans="1:6" ht="13.5">
      <c r="A885" s="86"/>
      <c r="B885" s="91"/>
      <c r="C885" s="92"/>
      <c r="D885" s="82"/>
      <c r="E885" s="82"/>
      <c r="F885" s="96"/>
    </row>
    <row r="886" spans="1:6" ht="13.5">
      <c r="A886" s="86"/>
      <c r="B886" s="91"/>
      <c r="C886" s="92"/>
      <c r="D886" s="82"/>
      <c r="E886" s="82"/>
      <c r="F886" s="96"/>
    </row>
    <row r="887" spans="1:6" ht="13.5">
      <c r="A887" s="86"/>
      <c r="B887" s="91"/>
      <c r="C887" s="92"/>
      <c r="D887" s="82"/>
      <c r="E887" s="82"/>
      <c r="F887" s="96"/>
    </row>
    <row r="888" spans="1:6" ht="13.5">
      <c r="A888" s="86"/>
      <c r="B888" s="91"/>
      <c r="C888" s="92"/>
      <c r="D888" s="82"/>
      <c r="E888" s="82"/>
      <c r="F888" s="96"/>
    </row>
    <row r="889" spans="1:6" ht="13.5">
      <c r="A889" s="86"/>
      <c r="B889" s="91"/>
      <c r="C889" s="92"/>
      <c r="D889" s="82"/>
      <c r="E889" s="82"/>
      <c r="F889" s="96"/>
    </row>
    <row r="890" spans="1:6" ht="13.5">
      <c r="A890" s="86"/>
      <c r="B890" s="91"/>
      <c r="C890" s="92"/>
      <c r="D890" s="82"/>
      <c r="E890" s="82"/>
      <c r="F890" s="96"/>
    </row>
    <row r="891" spans="1:6" ht="13.5">
      <c r="A891" s="86"/>
      <c r="B891" s="91"/>
      <c r="C891" s="92"/>
      <c r="D891" s="82"/>
      <c r="E891" s="82"/>
      <c r="F891" s="96"/>
    </row>
    <row r="892" spans="1:6" ht="13.5">
      <c r="A892" s="86"/>
      <c r="B892" s="91"/>
      <c r="C892" s="92"/>
      <c r="D892" s="82"/>
      <c r="E892" s="82"/>
      <c r="F892" s="96"/>
    </row>
    <row r="893" spans="1:6" ht="13.5">
      <c r="A893" s="86"/>
      <c r="B893" s="91"/>
      <c r="C893" s="92"/>
      <c r="D893" s="82"/>
      <c r="E893" s="82"/>
      <c r="F893" s="96"/>
    </row>
    <row r="894" spans="1:6" ht="13.5">
      <c r="A894" s="86"/>
      <c r="B894" s="91"/>
      <c r="C894" s="92"/>
      <c r="D894" s="82"/>
      <c r="E894" s="82"/>
      <c r="F894" s="96"/>
    </row>
    <row r="895" spans="1:6" ht="13.5">
      <c r="A895" s="86"/>
      <c r="B895" s="91"/>
      <c r="C895" s="92"/>
      <c r="D895" s="82"/>
      <c r="E895" s="82"/>
      <c r="F895" s="96"/>
    </row>
    <row r="896" spans="1:6" ht="13.5">
      <c r="A896" s="86"/>
      <c r="B896" s="91"/>
      <c r="C896" s="92"/>
      <c r="D896" s="82"/>
      <c r="E896" s="82"/>
      <c r="F896" s="96"/>
    </row>
    <row r="897" spans="1:6" ht="13.5">
      <c r="A897" s="86"/>
      <c r="B897" s="91"/>
      <c r="C897" s="92"/>
      <c r="D897" s="82"/>
      <c r="E897" s="82"/>
      <c r="F897" s="96"/>
    </row>
    <row r="898" spans="1:6" ht="13.5">
      <c r="A898" s="86"/>
      <c r="B898" s="91"/>
      <c r="C898" s="92"/>
      <c r="D898" s="82"/>
      <c r="E898" s="82"/>
      <c r="F898" s="96"/>
    </row>
    <row r="899" spans="1:6" ht="13.5">
      <c r="A899" s="86"/>
      <c r="B899" s="91"/>
      <c r="C899" s="92"/>
      <c r="D899" s="82"/>
      <c r="E899" s="82"/>
      <c r="F899" s="96"/>
    </row>
    <row r="900" spans="1:6" ht="13.5">
      <c r="A900" s="86"/>
      <c r="B900" s="91"/>
      <c r="C900" s="92"/>
      <c r="D900" s="82"/>
      <c r="E900" s="82"/>
      <c r="F900" s="96"/>
    </row>
    <row r="901" spans="1:6" ht="13.5">
      <c r="A901" s="86"/>
      <c r="B901" s="91"/>
      <c r="C901" s="92"/>
      <c r="D901" s="82"/>
      <c r="E901" s="82"/>
      <c r="F901" s="96"/>
    </row>
    <row r="902" spans="1:6" ht="13.5">
      <c r="A902" s="86"/>
      <c r="B902" s="91"/>
      <c r="C902" s="92"/>
      <c r="D902" s="82"/>
      <c r="E902" s="82"/>
      <c r="F902" s="96"/>
    </row>
    <row r="903" spans="1:6" ht="13.5">
      <c r="A903" s="86"/>
      <c r="B903" s="91"/>
      <c r="C903" s="92"/>
      <c r="D903" s="82"/>
      <c r="E903" s="82"/>
      <c r="F903" s="96"/>
    </row>
    <row r="904" spans="1:6" ht="13.5">
      <c r="A904" s="86"/>
      <c r="B904" s="91"/>
      <c r="C904" s="92"/>
      <c r="D904" s="82"/>
      <c r="E904" s="82"/>
      <c r="F904" s="96"/>
    </row>
    <row r="905" spans="1:6" ht="13.5">
      <c r="A905" s="86"/>
      <c r="B905" s="91"/>
      <c r="C905" s="92"/>
      <c r="D905" s="82"/>
      <c r="E905" s="82"/>
      <c r="F905" s="96"/>
    </row>
    <row r="906" spans="1:6" ht="13.5">
      <c r="A906" s="86"/>
      <c r="B906" s="91"/>
      <c r="C906" s="92"/>
      <c r="D906" s="82"/>
      <c r="E906" s="82"/>
      <c r="F906" s="96"/>
    </row>
    <row r="907" spans="1:6" ht="13.5">
      <c r="A907" s="86"/>
      <c r="B907" s="91"/>
      <c r="C907" s="92"/>
      <c r="D907" s="82"/>
      <c r="E907" s="82"/>
      <c r="F907" s="96"/>
    </row>
    <row r="908" spans="1:6" ht="13.5">
      <c r="A908" s="86"/>
      <c r="B908" s="91"/>
      <c r="C908" s="92"/>
      <c r="D908" s="82"/>
      <c r="E908" s="82"/>
      <c r="F908" s="96"/>
    </row>
    <row r="909" spans="1:6" ht="13.5">
      <c r="A909" s="86"/>
      <c r="B909" s="91"/>
      <c r="C909" s="92"/>
      <c r="D909" s="82"/>
      <c r="E909" s="82"/>
      <c r="F909" s="96"/>
    </row>
    <row r="910" spans="1:6" ht="13.5">
      <c r="A910" s="86"/>
      <c r="B910" s="91"/>
      <c r="C910" s="92"/>
      <c r="D910" s="82"/>
      <c r="E910" s="82"/>
      <c r="F910" s="96"/>
    </row>
    <row r="911" spans="1:6" ht="13.5">
      <c r="A911" s="86"/>
      <c r="B911" s="91"/>
      <c r="C911" s="92"/>
      <c r="D911" s="82"/>
      <c r="E911" s="82"/>
      <c r="F911" s="96"/>
    </row>
    <row r="912" spans="1:6" ht="13.5">
      <c r="A912" s="86"/>
      <c r="B912" s="91"/>
      <c r="C912" s="92"/>
      <c r="D912" s="82"/>
      <c r="E912" s="82"/>
      <c r="F912" s="96"/>
    </row>
    <row r="913" spans="1:6" ht="13.5">
      <c r="A913" s="86"/>
      <c r="B913" s="91"/>
      <c r="C913" s="92"/>
      <c r="D913" s="82"/>
      <c r="E913" s="82"/>
      <c r="F913" s="96"/>
    </row>
    <row r="914" spans="1:6" ht="13.5">
      <c r="A914" s="86"/>
      <c r="B914" s="91"/>
      <c r="C914" s="92"/>
      <c r="D914" s="82"/>
      <c r="E914" s="82"/>
      <c r="F914" s="96"/>
    </row>
    <row r="915" spans="1:6" ht="13.5">
      <c r="A915" s="86"/>
      <c r="B915" s="91"/>
      <c r="C915" s="92"/>
      <c r="D915" s="82"/>
      <c r="E915" s="82"/>
      <c r="F915" s="96"/>
    </row>
    <row r="916" spans="1:6" ht="13.5">
      <c r="A916" s="86"/>
      <c r="B916" s="91"/>
      <c r="C916" s="92"/>
      <c r="D916" s="82"/>
      <c r="E916" s="82"/>
      <c r="F916" s="96"/>
    </row>
    <row r="917" spans="1:6" ht="13.5">
      <c r="A917" s="86"/>
      <c r="B917" s="91"/>
      <c r="C917" s="92"/>
      <c r="D917" s="82"/>
      <c r="E917" s="82"/>
      <c r="F917" s="96"/>
    </row>
    <row r="918" spans="1:6" ht="13.5">
      <c r="A918" s="86"/>
      <c r="B918" s="91"/>
      <c r="C918" s="92"/>
      <c r="D918" s="82"/>
      <c r="E918" s="82"/>
      <c r="F918" s="96"/>
    </row>
    <row r="919" spans="1:6" ht="13.5">
      <c r="A919" s="86"/>
      <c r="B919" s="91"/>
      <c r="C919" s="92"/>
      <c r="D919" s="82"/>
      <c r="E919" s="82"/>
      <c r="F919" s="96"/>
    </row>
    <row r="920" spans="1:6" ht="13.5">
      <c r="A920" s="86"/>
      <c r="B920" s="91"/>
      <c r="C920" s="92"/>
      <c r="D920" s="82"/>
      <c r="E920" s="82"/>
      <c r="F920" s="96"/>
    </row>
    <row r="921" spans="1:6" ht="13.5">
      <c r="A921" s="86"/>
      <c r="B921" s="91"/>
      <c r="C921" s="92"/>
      <c r="D921" s="82"/>
      <c r="E921" s="82"/>
      <c r="F921" s="96"/>
    </row>
    <row r="922" spans="1:6" ht="13.5">
      <c r="A922" s="86"/>
      <c r="B922" s="91"/>
      <c r="C922" s="92"/>
      <c r="D922" s="82"/>
      <c r="E922" s="82"/>
      <c r="F922" s="96"/>
    </row>
    <row r="923" spans="1:6" ht="13.5">
      <c r="A923" s="86"/>
      <c r="B923" s="91"/>
      <c r="C923" s="92"/>
      <c r="D923" s="82"/>
      <c r="E923" s="82"/>
      <c r="F923" s="96"/>
    </row>
    <row r="924" spans="1:6" ht="13.5">
      <c r="A924" s="86"/>
      <c r="B924" s="91"/>
      <c r="C924" s="92"/>
      <c r="D924" s="82"/>
      <c r="E924" s="82"/>
      <c r="F924" s="96"/>
    </row>
    <row r="925" spans="1:6" ht="13.5">
      <c r="A925" s="86"/>
      <c r="B925" s="91"/>
      <c r="C925" s="92"/>
      <c r="D925" s="82"/>
      <c r="E925" s="82"/>
      <c r="F925" s="96"/>
    </row>
    <row r="926" spans="1:6" ht="13.5">
      <c r="A926" s="86"/>
      <c r="B926" s="91"/>
      <c r="C926" s="92"/>
      <c r="D926" s="82"/>
      <c r="E926" s="82"/>
      <c r="F926" s="96"/>
    </row>
    <row r="927" spans="1:6" ht="13.5">
      <c r="A927" s="86"/>
      <c r="B927" s="91"/>
      <c r="C927" s="92"/>
      <c r="D927" s="82"/>
      <c r="E927" s="82"/>
      <c r="F927" s="96"/>
    </row>
    <row r="928" spans="1:6" ht="13.5">
      <c r="A928" s="86"/>
      <c r="B928" s="91"/>
      <c r="C928" s="92"/>
      <c r="D928" s="82"/>
      <c r="E928" s="82"/>
      <c r="F928" s="96"/>
    </row>
    <row r="929" spans="1:6" ht="13.5">
      <c r="A929" s="86"/>
      <c r="B929" s="91"/>
      <c r="C929" s="92"/>
      <c r="D929" s="82"/>
      <c r="E929" s="82"/>
      <c r="F929" s="96"/>
    </row>
    <row r="930" spans="1:6" ht="13.5">
      <c r="A930" s="86"/>
      <c r="B930" s="91"/>
      <c r="C930" s="92"/>
      <c r="D930" s="82"/>
      <c r="E930" s="82"/>
      <c r="F930" s="96"/>
    </row>
    <row r="931" spans="1:6" ht="13.5">
      <c r="A931" s="86"/>
      <c r="B931" s="91"/>
      <c r="C931" s="92"/>
      <c r="D931" s="82"/>
      <c r="E931" s="82"/>
      <c r="F931" s="96"/>
    </row>
    <row r="932" spans="1:6" ht="13.5">
      <c r="A932" s="86"/>
      <c r="B932" s="91"/>
      <c r="C932" s="92"/>
      <c r="D932" s="82"/>
      <c r="E932" s="82"/>
      <c r="F932" s="96"/>
    </row>
    <row r="933" spans="1:6" ht="13.5">
      <c r="A933" s="86"/>
      <c r="B933" s="91"/>
      <c r="C933" s="92"/>
      <c r="D933" s="82"/>
      <c r="E933" s="82"/>
      <c r="F933" s="96"/>
    </row>
    <row r="934" spans="1:6" ht="13.5">
      <c r="A934" s="86"/>
      <c r="B934" s="91"/>
      <c r="C934" s="92"/>
      <c r="D934" s="82"/>
      <c r="E934" s="82"/>
      <c r="F934" s="96"/>
    </row>
    <row r="935" spans="1:6" ht="13.5">
      <c r="A935" s="86"/>
      <c r="B935" s="91"/>
      <c r="C935" s="92"/>
      <c r="D935" s="82"/>
      <c r="E935" s="82"/>
      <c r="F935" s="96"/>
    </row>
    <row r="936" spans="1:6" ht="13.5">
      <c r="A936" s="86"/>
      <c r="B936" s="91"/>
      <c r="C936" s="92"/>
      <c r="D936" s="82"/>
      <c r="E936" s="82"/>
      <c r="F936" s="96"/>
    </row>
    <row r="937" spans="1:6" ht="13.5">
      <c r="A937" s="86"/>
      <c r="B937" s="91"/>
      <c r="C937" s="92"/>
      <c r="D937" s="82"/>
      <c r="E937" s="82"/>
      <c r="F937" s="96"/>
    </row>
    <row r="938" spans="1:6" ht="13.5">
      <c r="A938" s="86"/>
      <c r="B938" s="91"/>
      <c r="C938" s="92"/>
      <c r="D938" s="82"/>
      <c r="E938" s="82"/>
      <c r="F938" s="96"/>
    </row>
    <row r="939" spans="1:6" ht="13.5">
      <c r="A939" s="86"/>
      <c r="B939" s="91"/>
      <c r="C939" s="92"/>
      <c r="D939" s="82"/>
      <c r="E939" s="82"/>
      <c r="F939" s="96"/>
    </row>
    <row r="940" spans="1:6" ht="13.5">
      <c r="A940" s="86"/>
      <c r="B940" s="91"/>
      <c r="C940" s="92"/>
      <c r="D940" s="82"/>
      <c r="E940" s="82"/>
      <c r="F940" s="96"/>
    </row>
    <row r="941" spans="1:6" ht="13.5">
      <c r="A941" s="86"/>
      <c r="B941" s="91"/>
      <c r="C941" s="92"/>
      <c r="D941" s="82"/>
      <c r="E941" s="82"/>
      <c r="F941" s="96"/>
    </row>
    <row r="942" spans="1:6" ht="13.5">
      <c r="A942" s="86"/>
      <c r="B942" s="91"/>
      <c r="C942" s="92"/>
      <c r="D942" s="82"/>
      <c r="E942" s="82"/>
      <c r="F942" s="96"/>
    </row>
    <row r="943" spans="1:6" ht="13.5">
      <c r="A943" s="86"/>
      <c r="B943" s="91"/>
      <c r="C943" s="92"/>
      <c r="D943" s="82"/>
      <c r="E943" s="82"/>
      <c r="F943" s="96"/>
    </row>
    <row r="944" spans="1:6" ht="13.5">
      <c r="A944" s="86"/>
      <c r="B944" s="91"/>
      <c r="C944" s="92"/>
      <c r="D944" s="82"/>
      <c r="E944" s="82"/>
      <c r="F944" s="96"/>
    </row>
    <row r="945" spans="1:6" ht="13.5">
      <c r="A945" s="86"/>
      <c r="B945" s="91"/>
      <c r="C945" s="92"/>
      <c r="D945" s="82"/>
      <c r="E945" s="82"/>
      <c r="F945" s="96"/>
    </row>
    <row r="946" spans="1:6" ht="13.5">
      <c r="A946" s="86"/>
      <c r="B946" s="91"/>
      <c r="C946" s="92"/>
      <c r="D946" s="82"/>
      <c r="E946" s="82"/>
      <c r="F946" s="96"/>
    </row>
    <row r="947" spans="1:6" ht="13.5">
      <c r="A947" s="86"/>
      <c r="B947" s="91"/>
      <c r="C947" s="92"/>
      <c r="D947" s="82"/>
      <c r="E947" s="82"/>
      <c r="F947" s="96"/>
    </row>
    <row r="948" spans="1:6" ht="13.5">
      <c r="A948" s="86"/>
      <c r="B948" s="91"/>
      <c r="C948" s="92"/>
      <c r="D948" s="82"/>
      <c r="E948" s="82"/>
      <c r="F948" s="96"/>
    </row>
    <row r="949" spans="1:6" ht="13.5">
      <c r="A949" s="86"/>
      <c r="B949" s="91"/>
      <c r="C949" s="92"/>
      <c r="D949" s="82"/>
      <c r="E949" s="82"/>
      <c r="F949" s="96"/>
    </row>
    <row r="950" spans="1:6" ht="13.5">
      <c r="A950" s="86"/>
      <c r="B950" s="91"/>
      <c r="C950" s="92"/>
      <c r="D950" s="82"/>
      <c r="E950" s="82"/>
      <c r="F950" s="96"/>
    </row>
    <row r="951" spans="1:6" ht="13.5">
      <c r="A951" s="86"/>
      <c r="B951" s="91"/>
      <c r="C951" s="92"/>
      <c r="D951" s="82"/>
      <c r="E951" s="82"/>
      <c r="F951" s="96"/>
    </row>
    <row r="952" spans="1:6" ht="13.5">
      <c r="A952" s="86"/>
      <c r="B952" s="91"/>
      <c r="C952" s="92"/>
      <c r="D952" s="82"/>
      <c r="E952" s="82"/>
      <c r="F952" s="96"/>
    </row>
    <row r="953" spans="1:6" ht="13.5">
      <c r="A953" s="86"/>
      <c r="B953" s="91"/>
      <c r="C953" s="92"/>
      <c r="D953" s="82"/>
      <c r="E953" s="82"/>
      <c r="F953" s="96"/>
    </row>
    <row r="954" spans="1:6" ht="13.5">
      <c r="A954" s="86"/>
      <c r="B954" s="91"/>
      <c r="C954" s="92"/>
      <c r="D954" s="82"/>
      <c r="E954" s="82"/>
      <c r="F954" s="96"/>
    </row>
    <row r="955" spans="1:6" ht="13.5">
      <c r="A955" s="86"/>
      <c r="B955" s="91"/>
      <c r="C955" s="92"/>
      <c r="D955" s="82"/>
      <c r="E955" s="82"/>
      <c r="F955" s="96"/>
    </row>
    <row r="956" spans="1:6" ht="13.5">
      <c r="A956" s="86"/>
      <c r="B956" s="91"/>
      <c r="C956" s="92"/>
      <c r="D956" s="82"/>
      <c r="E956" s="82"/>
      <c r="F956" s="96"/>
    </row>
    <row r="957" spans="1:6" ht="13.5">
      <c r="A957" s="86"/>
      <c r="B957" s="91"/>
      <c r="C957" s="92"/>
      <c r="D957" s="82"/>
      <c r="E957" s="82"/>
      <c r="F957" s="96"/>
    </row>
    <row r="958" spans="1:6" ht="13.5">
      <c r="A958" s="86"/>
      <c r="B958" s="91"/>
      <c r="C958" s="92"/>
      <c r="D958" s="82"/>
      <c r="E958" s="82"/>
      <c r="F958" s="96"/>
    </row>
    <row r="959" spans="1:6" ht="13.5">
      <c r="A959" s="86"/>
      <c r="B959" s="91"/>
      <c r="C959" s="92"/>
      <c r="D959" s="82"/>
      <c r="E959" s="82"/>
      <c r="F959" s="96"/>
    </row>
    <row r="960" spans="1:6" ht="13.5">
      <c r="A960" s="86"/>
      <c r="B960" s="91"/>
      <c r="C960" s="92"/>
      <c r="D960" s="82"/>
      <c r="E960" s="82"/>
      <c r="F960" s="96"/>
    </row>
    <row r="961" spans="1:6" ht="13.5">
      <c r="A961" s="86"/>
      <c r="B961" s="91"/>
      <c r="C961" s="92"/>
      <c r="D961" s="82"/>
      <c r="E961" s="82"/>
      <c r="F961" s="96"/>
    </row>
    <row r="962" spans="1:6" ht="13.5">
      <c r="A962" s="86"/>
      <c r="B962" s="91"/>
      <c r="C962" s="92"/>
      <c r="D962" s="82"/>
      <c r="E962" s="82"/>
      <c r="F962" s="96"/>
    </row>
    <row r="963" spans="1:6" ht="13.5">
      <c r="A963" s="86"/>
      <c r="B963" s="91"/>
      <c r="C963" s="92"/>
      <c r="D963" s="82"/>
      <c r="E963" s="82"/>
      <c r="F963" s="96"/>
    </row>
    <row r="964" spans="1:6" ht="13.5">
      <c r="A964" s="86"/>
      <c r="B964" s="91"/>
      <c r="C964" s="92"/>
      <c r="D964" s="82"/>
      <c r="E964" s="82"/>
      <c r="F964" s="96"/>
    </row>
    <row r="965" spans="1:6" ht="13.5">
      <c r="A965" s="86"/>
      <c r="B965" s="91"/>
      <c r="C965" s="92"/>
      <c r="D965" s="82"/>
      <c r="E965" s="82"/>
      <c r="F965" s="96"/>
    </row>
    <row r="966" spans="1:6" ht="13.5">
      <c r="A966" s="86"/>
      <c r="B966" s="91"/>
      <c r="C966" s="92"/>
      <c r="D966" s="82"/>
      <c r="E966" s="82"/>
      <c r="F966" s="96"/>
    </row>
    <row r="967" spans="1:6" ht="13.5">
      <c r="A967" s="86"/>
      <c r="B967" s="91"/>
      <c r="C967" s="92"/>
      <c r="D967" s="82"/>
      <c r="E967" s="82"/>
      <c r="F967" s="96"/>
    </row>
    <row r="968" spans="1:6" ht="13.5">
      <c r="A968" s="86"/>
      <c r="B968" s="91"/>
      <c r="C968" s="92"/>
      <c r="D968" s="82"/>
      <c r="E968" s="82"/>
      <c r="F968" s="96"/>
    </row>
    <row r="969" spans="1:6" ht="13.5">
      <c r="A969" s="86"/>
      <c r="B969" s="91"/>
      <c r="C969" s="92"/>
      <c r="D969" s="82"/>
      <c r="E969" s="82"/>
      <c r="F969" s="96"/>
    </row>
    <row r="970" spans="1:6" ht="13.5">
      <c r="A970" s="86"/>
      <c r="B970" s="91"/>
      <c r="C970" s="92"/>
      <c r="D970" s="82"/>
      <c r="E970" s="82"/>
      <c r="F970" s="96"/>
    </row>
    <row r="971" spans="1:6" ht="13.5">
      <c r="A971" s="86"/>
      <c r="B971" s="91"/>
      <c r="C971" s="92"/>
      <c r="D971" s="82"/>
      <c r="E971" s="82"/>
      <c r="F971" s="96"/>
    </row>
    <row r="972" spans="1:6" ht="13.5">
      <c r="A972" s="86"/>
      <c r="B972" s="91"/>
      <c r="C972" s="92"/>
      <c r="D972" s="82"/>
      <c r="E972" s="82"/>
      <c r="F972" s="96"/>
    </row>
    <row r="973" spans="1:6" ht="13.5">
      <c r="A973" s="86"/>
      <c r="B973" s="91"/>
      <c r="C973" s="92"/>
      <c r="D973" s="82"/>
      <c r="E973" s="82"/>
      <c r="F973" s="96"/>
    </row>
    <row r="974" spans="1:6" ht="13.5">
      <c r="A974" s="86"/>
      <c r="B974" s="91"/>
      <c r="C974" s="92"/>
      <c r="D974" s="82"/>
      <c r="E974" s="82"/>
      <c r="F974" s="96"/>
    </row>
    <row r="975" spans="1:6" ht="13.5">
      <c r="A975" s="86"/>
      <c r="B975" s="91"/>
      <c r="C975" s="92"/>
      <c r="D975" s="82"/>
      <c r="E975" s="82"/>
      <c r="F975" s="96"/>
    </row>
    <row r="976" spans="1:6" ht="13.5">
      <c r="A976" s="86"/>
      <c r="B976" s="91"/>
      <c r="C976" s="92"/>
      <c r="D976" s="82"/>
      <c r="E976" s="82"/>
      <c r="F976" s="96"/>
    </row>
    <row r="977" spans="1:6" ht="13.5">
      <c r="A977" s="86"/>
      <c r="B977" s="91"/>
      <c r="C977" s="92"/>
      <c r="D977" s="82"/>
      <c r="E977" s="82"/>
      <c r="F977" s="96"/>
    </row>
    <row r="978" spans="1:6" ht="13.5">
      <c r="A978" s="86"/>
      <c r="B978" s="91"/>
      <c r="C978" s="92"/>
      <c r="D978" s="82"/>
      <c r="E978" s="82"/>
      <c r="F978" s="96"/>
    </row>
    <row r="979" spans="1:6" ht="13.5">
      <c r="A979" s="86"/>
      <c r="B979" s="91"/>
      <c r="C979" s="92"/>
      <c r="D979" s="82"/>
      <c r="E979" s="82"/>
      <c r="F979" s="96"/>
    </row>
    <row r="980" spans="1:6" ht="13.5">
      <c r="A980" s="86"/>
      <c r="B980" s="91"/>
      <c r="C980" s="92"/>
      <c r="D980" s="82"/>
      <c r="E980" s="82"/>
      <c r="F980" s="96"/>
    </row>
    <row r="981" spans="1:6" ht="13.5">
      <c r="A981" s="86"/>
      <c r="B981" s="91"/>
      <c r="C981" s="92"/>
      <c r="D981" s="82"/>
      <c r="E981" s="82"/>
      <c r="F981" s="96"/>
    </row>
    <row r="982" spans="1:6" ht="13.5">
      <c r="A982" s="86"/>
      <c r="B982" s="91"/>
      <c r="C982" s="92"/>
      <c r="D982" s="82"/>
      <c r="E982" s="82"/>
      <c r="F982" s="96"/>
    </row>
    <row r="983" spans="1:6" ht="13.5">
      <c r="A983" s="86"/>
      <c r="B983" s="91"/>
      <c r="C983" s="92"/>
      <c r="D983" s="82"/>
      <c r="E983" s="82"/>
      <c r="F983" s="96"/>
    </row>
    <row r="984" spans="1:6" ht="13.5">
      <c r="A984" s="86"/>
      <c r="B984" s="91"/>
      <c r="C984" s="92"/>
      <c r="D984" s="82"/>
      <c r="E984" s="82"/>
      <c r="F984" s="96"/>
    </row>
    <row r="985" spans="1:6" ht="13.5">
      <c r="A985" s="86"/>
      <c r="B985" s="91"/>
      <c r="C985" s="92"/>
      <c r="D985" s="82"/>
      <c r="E985" s="82"/>
      <c r="F985" s="96"/>
    </row>
    <row r="986" spans="1:6" ht="13.5">
      <c r="A986" s="86"/>
      <c r="B986" s="91"/>
      <c r="C986" s="92"/>
      <c r="D986" s="82"/>
      <c r="E986" s="82"/>
      <c r="F986" s="96"/>
    </row>
    <row r="987" spans="1:6" ht="13.5">
      <c r="A987" s="86"/>
      <c r="B987" s="91"/>
      <c r="C987" s="92"/>
      <c r="D987" s="82"/>
      <c r="E987" s="82"/>
      <c r="F987" s="96"/>
    </row>
    <row r="988" spans="1:6" ht="13.5">
      <c r="A988" s="86"/>
      <c r="B988" s="91"/>
      <c r="C988" s="92"/>
      <c r="D988" s="82"/>
      <c r="E988" s="82"/>
      <c r="F988" s="96"/>
    </row>
    <row r="989" spans="1:6" ht="13.5">
      <c r="A989" s="86"/>
      <c r="B989" s="91"/>
      <c r="C989" s="92"/>
      <c r="D989" s="82"/>
      <c r="E989" s="82"/>
      <c r="F989" s="96"/>
    </row>
    <row r="990" spans="1:6" ht="13.5">
      <c r="A990" s="86"/>
      <c r="B990" s="91"/>
      <c r="C990" s="92"/>
      <c r="D990" s="82"/>
      <c r="E990" s="82"/>
      <c r="F990" s="96"/>
    </row>
    <row r="991" spans="1:6" ht="13.5">
      <c r="A991" s="86"/>
      <c r="B991" s="91"/>
      <c r="C991" s="92"/>
      <c r="D991" s="82"/>
      <c r="E991" s="82"/>
      <c r="F991" s="96"/>
    </row>
    <row r="992" spans="1:6" ht="13.5">
      <c r="A992" s="86"/>
      <c r="B992" s="91"/>
      <c r="C992" s="92"/>
      <c r="D992" s="82"/>
      <c r="E992" s="82"/>
      <c r="F992" s="96"/>
    </row>
    <row r="993" spans="1:6" ht="13.5">
      <c r="A993" s="86"/>
      <c r="B993" s="91"/>
      <c r="C993" s="92"/>
      <c r="D993" s="82"/>
      <c r="E993" s="82"/>
      <c r="F993" s="96"/>
    </row>
    <row r="994" spans="1:6" ht="13.5">
      <c r="A994" s="86"/>
      <c r="B994" s="91"/>
      <c r="C994" s="92"/>
      <c r="D994" s="82"/>
      <c r="E994" s="82"/>
      <c r="F994" s="96"/>
    </row>
    <row r="995" spans="1:6" ht="13.5">
      <c r="A995" s="86"/>
      <c r="B995" s="91"/>
      <c r="C995" s="92"/>
      <c r="D995" s="82"/>
      <c r="E995" s="82"/>
      <c r="F995" s="96"/>
    </row>
    <row r="996" spans="1:6" ht="13.5">
      <c r="A996" s="86"/>
      <c r="B996" s="91"/>
      <c r="C996" s="92"/>
      <c r="D996" s="82"/>
      <c r="E996" s="82"/>
      <c r="F996" s="96"/>
    </row>
    <row r="997" spans="1:6" ht="13.5">
      <c r="A997" s="86"/>
      <c r="B997" s="91"/>
      <c r="C997" s="92"/>
      <c r="D997" s="82"/>
      <c r="E997" s="82"/>
      <c r="F997" s="96"/>
    </row>
    <row r="998" spans="1:6" ht="13.5">
      <c r="A998" s="86"/>
      <c r="B998" s="91"/>
      <c r="C998" s="92"/>
      <c r="D998" s="82"/>
      <c r="E998" s="82"/>
      <c r="F998" s="96"/>
    </row>
    <row r="999" spans="1:6" ht="13.5">
      <c r="A999" s="86"/>
      <c r="B999" s="91"/>
      <c r="C999" s="92"/>
      <c r="D999" s="82"/>
      <c r="E999" s="82"/>
      <c r="F999" s="96"/>
    </row>
    <row r="1000" spans="1:6" ht="13.5">
      <c r="A1000" s="86"/>
      <c r="B1000" s="91"/>
      <c r="C1000" s="92"/>
      <c r="D1000" s="82"/>
      <c r="E1000" s="82"/>
      <c r="F1000" s="96"/>
    </row>
    <row r="1001" spans="1:6" ht="13.5">
      <c r="A1001" s="86"/>
      <c r="B1001" s="91"/>
      <c r="C1001" s="92"/>
      <c r="D1001" s="82"/>
      <c r="E1001" s="82"/>
      <c r="F1001" s="96"/>
    </row>
    <row r="1002" spans="1:6" ht="13.5">
      <c r="A1002" s="86"/>
      <c r="B1002" s="91"/>
      <c r="C1002" s="92"/>
      <c r="D1002" s="82"/>
      <c r="E1002" s="82"/>
      <c r="F1002" s="96"/>
    </row>
    <row r="1003" spans="1:6" ht="13.5">
      <c r="A1003" s="86"/>
      <c r="B1003" s="91"/>
      <c r="C1003" s="92"/>
      <c r="D1003" s="82"/>
      <c r="E1003" s="82"/>
      <c r="F1003" s="96"/>
    </row>
    <row r="1004" spans="1:6" ht="13.5">
      <c r="A1004" s="86"/>
      <c r="B1004" s="91"/>
      <c r="C1004" s="92"/>
      <c r="D1004" s="82"/>
      <c r="E1004" s="82"/>
      <c r="F1004" s="96"/>
    </row>
    <row r="1005" spans="1:6" ht="13.5">
      <c r="A1005" s="86"/>
      <c r="B1005" s="91"/>
      <c r="C1005" s="92"/>
      <c r="D1005" s="82"/>
      <c r="E1005" s="82"/>
      <c r="F1005" s="96"/>
    </row>
    <row r="1006" spans="1:6" ht="13.5">
      <c r="A1006" s="86"/>
      <c r="B1006" s="91"/>
      <c r="C1006" s="92"/>
      <c r="D1006" s="82"/>
      <c r="E1006" s="82"/>
      <c r="F1006" s="96"/>
    </row>
    <row r="1007" spans="1:6" ht="13.5">
      <c r="A1007" s="86"/>
      <c r="B1007" s="91"/>
      <c r="C1007" s="92"/>
      <c r="D1007" s="82"/>
      <c r="E1007" s="82"/>
      <c r="F1007" s="96"/>
    </row>
    <row r="1008" spans="1:6" ht="13.5">
      <c r="A1008" s="86"/>
      <c r="B1008" s="91"/>
      <c r="C1008" s="92"/>
      <c r="D1008" s="82"/>
      <c r="E1008" s="82"/>
      <c r="F1008" s="96"/>
    </row>
    <row r="1009" spans="1:6" ht="13.5">
      <c r="A1009" s="86"/>
      <c r="B1009" s="91"/>
      <c r="C1009" s="92"/>
      <c r="D1009" s="82"/>
      <c r="E1009" s="82"/>
      <c r="F1009" s="96"/>
    </row>
    <row r="1010" spans="1:6" ht="13.5">
      <c r="A1010" s="86"/>
      <c r="B1010" s="91"/>
      <c r="C1010" s="92"/>
      <c r="D1010" s="82"/>
      <c r="E1010" s="82"/>
      <c r="F1010" s="96"/>
    </row>
    <row r="1011" spans="1:6" ht="13.5">
      <c r="A1011" s="86"/>
      <c r="B1011" s="91"/>
      <c r="C1011" s="92"/>
      <c r="D1011" s="82"/>
      <c r="E1011" s="82"/>
      <c r="F1011" s="96"/>
    </row>
    <row r="1012" spans="1:6" ht="13.5">
      <c r="A1012" s="86"/>
      <c r="B1012" s="91"/>
      <c r="C1012" s="92"/>
      <c r="D1012" s="82"/>
      <c r="E1012" s="82"/>
      <c r="F1012" s="96"/>
    </row>
    <row r="1013" spans="1:6" ht="13.5">
      <c r="A1013" s="86"/>
      <c r="B1013" s="91"/>
      <c r="C1013" s="92"/>
      <c r="D1013" s="82"/>
      <c r="E1013" s="82"/>
      <c r="F1013" s="96"/>
    </row>
    <row r="1014" spans="1:6" ht="13.5">
      <c r="A1014" s="86"/>
      <c r="B1014" s="91"/>
      <c r="C1014" s="92"/>
      <c r="D1014" s="82"/>
      <c r="E1014" s="82"/>
      <c r="F1014" s="96"/>
    </row>
    <row r="1015" spans="1:6" ht="13.5">
      <c r="A1015" s="86"/>
      <c r="B1015" s="91"/>
      <c r="C1015" s="92"/>
      <c r="D1015" s="82"/>
      <c r="E1015" s="82"/>
      <c r="F1015" s="96"/>
    </row>
    <row r="1016" spans="1:6" ht="13.5">
      <c r="A1016" s="86"/>
      <c r="B1016" s="91"/>
      <c r="C1016" s="92"/>
      <c r="D1016" s="82"/>
      <c r="E1016" s="82"/>
      <c r="F1016" s="96"/>
    </row>
    <row r="1017" spans="1:6" ht="13.5">
      <c r="A1017" s="86"/>
      <c r="B1017" s="91"/>
      <c r="C1017" s="92"/>
      <c r="D1017" s="82"/>
      <c r="E1017" s="82"/>
      <c r="F1017" s="96"/>
    </row>
    <row r="1018" spans="1:6" ht="13.5">
      <c r="A1018" s="86"/>
      <c r="B1018" s="91"/>
      <c r="C1018" s="92"/>
      <c r="D1018" s="82"/>
      <c r="E1018" s="82"/>
      <c r="F1018" s="96"/>
    </row>
    <row r="1019" spans="1:6" ht="13.5">
      <c r="A1019" s="86"/>
      <c r="B1019" s="91"/>
      <c r="C1019" s="92"/>
      <c r="D1019" s="82"/>
      <c r="E1019" s="82"/>
      <c r="F1019" s="96"/>
    </row>
    <row r="1020" spans="1:6" ht="13.5">
      <c r="A1020" s="86"/>
      <c r="B1020" s="91"/>
      <c r="C1020" s="92"/>
      <c r="D1020" s="82"/>
      <c r="E1020" s="82"/>
      <c r="F1020" s="96"/>
    </row>
    <row r="1021" spans="1:6" ht="13.5">
      <c r="A1021" s="86"/>
      <c r="B1021" s="91"/>
      <c r="C1021" s="92"/>
      <c r="D1021" s="82"/>
      <c r="E1021" s="82"/>
      <c r="F1021" s="96"/>
    </row>
    <row r="1022" spans="1:6" ht="13.5">
      <c r="A1022" s="86"/>
      <c r="B1022" s="91"/>
      <c r="C1022" s="92"/>
      <c r="D1022" s="82"/>
      <c r="E1022" s="82"/>
      <c r="F1022" s="96"/>
    </row>
    <row r="1023" spans="1:6" ht="13.5">
      <c r="A1023" s="86"/>
      <c r="B1023" s="91"/>
      <c r="C1023" s="92"/>
      <c r="D1023" s="82"/>
      <c r="E1023" s="82"/>
      <c r="F1023" s="96"/>
    </row>
    <row r="1024" spans="1:6" ht="13.5">
      <c r="A1024" s="86"/>
      <c r="B1024" s="91"/>
      <c r="C1024" s="92"/>
      <c r="D1024" s="82"/>
      <c r="E1024" s="82"/>
      <c r="F1024" s="96"/>
    </row>
    <row r="1025" spans="1:6" ht="13.5">
      <c r="A1025" s="86"/>
      <c r="B1025" s="91"/>
      <c r="C1025" s="92"/>
      <c r="D1025" s="82"/>
      <c r="E1025" s="82"/>
      <c r="F1025" s="96"/>
    </row>
    <row r="1026" spans="1:6" ht="13.5">
      <c r="A1026" s="86"/>
      <c r="B1026" s="91"/>
      <c r="C1026" s="92"/>
      <c r="D1026" s="82"/>
      <c r="E1026" s="82"/>
      <c r="F1026" s="96"/>
    </row>
    <row r="1027" spans="1:6" ht="13.5">
      <c r="A1027" s="86"/>
      <c r="B1027" s="91"/>
      <c r="C1027" s="92"/>
      <c r="D1027" s="82"/>
      <c r="E1027" s="82"/>
      <c r="F1027" s="96"/>
    </row>
    <row r="1028" spans="1:6" ht="13.5">
      <c r="A1028" s="86"/>
      <c r="B1028" s="91"/>
      <c r="C1028" s="92"/>
      <c r="D1028" s="82"/>
      <c r="E1028" s="82"/>
      <c r="F1028" s="96"/>
    </row>
    <row r="1029" spans="1:6" ht="13.5">
      <c r="A1029" s="86"/>
      <c r="B1029" s="91"/>
      <c r="C1029" s="92"/>
      <c r="D1029" s="82"/>
      <c r="E1029" s="82"/>
      <c r="F1029" s="96"/>
    </row>
    <row r="1030" spans="1:6" ht="13.5">
      <c r="A1030" s="86"/>
      <c r="B1030" s="91"/>
      <c r="C1030" s="92"/>
      <c r="D1030" s="82"/>
      <c r="E1030" s="82"/>
      <c r="F1030" s="96"/>
    </row>
    <row r="1031" spans="1:6" ht="13.5">
      <c r="A1031" s="86"/>
      <c r="B1031" s="91"/>
      <c r="C1031" s="92"/>
      <c r="D1031" s="82"/>
      <c r="E1031" s="82"/>
      <c r="F1031" s="96"/>
    </row>
    <row r="1032" spans="1:6" ht="13.5">
      <c r="A1032" s="86"/>
      <c r="B1032" s="91"/>
      <c r="C1032" s="92"/>
      <c r="D1032" s="82"/>
      <c r="E1032" s="82"/>
      <c r="F1032" s="96"/>
    </row>
    <row r="1033" spans="1:6" ht="13.5">
      <c r="A1033" s="86"/>
      <c r="B1033" s="91"/>
      <c r="C1033" s="92"/>
      <c r="D1033" s="82"/>
      <c r="E1033" s="82"/>
      <c r="F1033" s="96"/>
    </row>
    <row r="1034" spans="1:6" ht="13.5">
      <c r="A1034" s="86"/>
      <c r="B1034" s="91"/>
      <c r="C1034" s="92"/>
      <c r="D1034" s="82"/>
      <c r="E1034" s="82"/>
      <c r="F1034" s="96"/>
    </row>
    <row r="1035" spans="1:6" ht="13.5">
      <c r="A1035" s="86"/>
      <c r="B1035" s="91"/>
      <c r="C1035" s="92"/>
      <c r="D1035" s="82"/>
      <c r="E1035" s="82"/>
      <c r="F1035" s="96"/>
    </row>
    <row r="1036" spans="1:6" ht="13.5">
      <c r="A1036" s="86"/>
      <c r="B1036" s="91"/>
      <c r="C1036" s="92"/>
      <c r="D1036" s="82"/>
      <c r="E1036" s="82"/>
      <c r="F1036" s="96"/>
    </row>
    <row r="1037" spans="1:6" ht="13.5">
      <c r="A1037" s="86"/>
      <c r="B1037" s="91"/>
      <c r="C1037" s="92"/>
      <c r="D1037" s="82"/>
      <c r="E1037" s="82"/>
      <c r="F1037" s="96"/>
    </row>
    <row r="1038" spans="1:6" ht="13.5">
      <c r="A1038" s="86"/>
      <c r="B1038" s="91"/>
      <c r="C1038" s="92"/>
      <c r="D1038" s="82"/>
      <c r="E1038" s="82"/>
      <c r="F1038" s="96"/>
    </row>
    <row r="1039" spans="1:6" ht="13.5">
      <c r="A1039" s="86"/>
      <c r="B1039" s="91"/>
      <c r="C1039" s="92"/>
      <c r="D1039" s="82"/>
      <c r="E1039" s="82"/>
      <c r="F1039" s="96"/>
    </row>
    <row r="1040" spans="1:6" ht="13.5">
      <c r="A1040" s="86"/>
      <c r="B1040" s="91"/>
      <c r="C1040" s="92"/>
      <c r="D1040" s="82"/>
      <c r="E1040" s="82"/>
      <c r="F1040" s="96"/>
    </row>
    <row r="1041" spans="1:6" ht="13.5">
      <c r="A1041" s="86"/>
      <c r="B1041" s="91"/>
      <c r="C1041" s="92"/>
      <c r="D1041" s="82"/>
      <c r="E1041" s="82"/>
      <c r="F1041" s="96"/>
    </row>
    <row r="1042" spans="1:6" ht="13.5">
      <c r="A1042" s="86"/>
      <c r="B1042" s="91"/>
      <c r="C1042" s="92"/>
      <c r="D1042" s="82"/>
      <c r="E1042" s="82"/>
      <c r="F1042" s="96"/>
    </row>
    <row r="1043" spans="1:6" ht="13.5">
      <c r="A1043" s="86"/>
      <c r="B1043" s="91"/>
      <c r="C1043" s="92"/>
      <c r="D1043" s="82"/>
      <c r="E1043" s="82"/>
      <c r="F1043" s="96"/>
    </row>
    <row r="1044" spans="1:6" ht="13.5">
      <c r="A1044" s="86"/>
      <c r="B1044" s="91"/>
      <c r="C1044" s="92"/>
      <c r="D1044" s="82"/>
      <c r="E1044" s="82"/>
      <c r="F1044" s="96"/>
    </row>
    <row r="1045" spans="1:6" ht="13.5">
      <c r="A1045" s="86"/>
      <c r="B1045" s="91"/>
      <c r="C1045" s="92"/>
      <c r="D1045" s="82"/>
      <c r="E1045" s="82"/>
      <c r="F1045" s="96"/>
    </row>
    <row r="1046" spans="1:6" ht="13.5">
      <c r="A1046" s="86"/>
      <c r="B1046" s="91"/>
      <c r="C1046" s="92"/>
      <c r="D1046" s="82"/>
      <c r="E1046" s="82"/>
      <c r="F1046" s="96"/>
    </row>
    <row r="1047" spans="1:6" ht="13.5">
      <c r="A1047" s="86"/>
      <c r="B1047" s="91"/>
      <c r="C1047" s="92"/>
      <c r="D1047" s="82"/>
      <c r="E1047" s="82"/>
      <c r="F1047" s="96"/>
    </row>
    <row r="1048" spans="1:6" ht="13.5">
      <c r="A1048" s="86"/>
      <c r="B1048" s="91"/>
      <c r="C1048" s="92"/>
      <c r="D1048" s="82"/>
      <c r="E1048" s="82"/>
      <c r="F1048" s="96"/>
    </row>
    <row r="1049" spans="1:6" ht="13.5">
      <c r="A1049" s="86"/>
      <c r="B1049" s="91"/>
      <c r="C1049" s="92"/>
      <c r="D1049" s="82"/>
      <c r="E1049" s="82"/>
      <c r="F1049" s="96"/>
    </row>
    <row r="1050" spans="1:6" ht="13.5">
      <c r="A1050" s="86"/>
      <c r="B1050" s="91"/>
      <c r="C1050" s="92"/>
      <c r="D1050" s="82"/>
      <c r="E1050" s="82"/>
      <c r="F1050" s="96"/>
    </row>
    <row r="1051" spans="1:6" ht="13.5">
      <c r="A1051" s="86"/>
      <c r="B1051" s="91"/>
      <c r="C1051" s="92"/>
      <c r="D1051" s="82"/>
      <c r="E1051" s="82"/>
      <c r="F1051" s="96"/>
    </row>
    <row r="1052" spans="1:6" ht="13.5">
      <c r="A1052" s="86"/>
      <c r="B1052" s="91"/>
      <c r="C1052" s="92"/>
      <c r="D1052" s="82"/>
      <c r="E1052" s="82"/>
      <c r="F1052" s="96"/>
    </row>
    <row r="1053" spans="1:6" ht="13.5">
      <c r="A1053" s="86"/>
      <c r="B1053" s="91"/>
      <c r="C1053" s="92"/>
      <c r="D1053" s="82"/>
      <c r="E1053" s="82"/>
      <c r="F1053" s="96"/>
    </row>
    <row r="1054" spans="1:6" ht="13.5">
      <c r="A1054" s="86"/>
      <c r="B1054" s="91"/>
      <c r="C1054" s="92"/>
      <c r="D1054" s="82"/>
      <c r="E1054" s="82"/>
      <c r="F1054" s="96"/>
    </row>
    <row r="1055" spans="1:6" ht="13.5">
      <c r="A1055" s="86"/>
      <c r="B1055" s="91"/>
      <c r="C1055" s="92"/>
      <c r="D1055" s="82"/>
      <c r="E1055" s="82"/>
      <c r="F1055" s="96"/>
    </row>
    <row r="1056" spans="1:6" ht="13.5">
      <c r="A1056" s="86"/>
      <c r="B1056" s="91"/>
      <c r="C1056" s="92"/>
      <c r="D1056" s="82"/>
      <c r="E1056" s="82"/>
      <c r="F1056" s="96"/>
    </row>
    <row r="1057" spans="1:6" ht="13.5">
      <c r="A1057" s="86"/>
      <c r="B1057" s="91"/>
      <c r="C1057" s="92"/>
      <c r="D1057" s="82"/>
      <c r="E1057" s="82"/>
      <c r="F1057" s="96"/>
    </row>
    <row r="1058" spans="1:6" ht="13.5">
      <c r="A1058" s="86"/>
      <c r="B1058" s="91"/>
      <c r="C1058" s="92"/>
      <c r="D1058" s="82"/>
      <c r="E1058" s="82"/>
      <c r="F1058" s="96"/>
    </row>
    <row r="1059" spans="1:6" ht="13.5">
      <c r="A1059" s="86"/>
      <c r="B1059" s="91"/>
      <c r="C1059" s="92"/>
      <c r="D1059" s="82"/>
      <c r="E1059" s="82"/>
      <c r="F1059" s="96"/>
    </row>
    <row r="1060" spans="1:6" ht="13.5">
      <c r="A1060" s="86"/>
      <c r="B1060" s="91"/>
      <c r="C1060" s="92"/>
      <c r="D1060" s="82"/>
      <c r="E1060" s="82"/>
      <c r="F1060" s="96"/>
    </row>
    <row r="1061" spans="1:6" ht="13.5">
      <c r="A1061" s="86"/>
      <c r="B1061" s="91"/>
      <c r="C1061" s="92"/>
      <c r="D1061" s="82"/>
      <c r="E1061" s="82"/>
      <c r="F1061" s="96"/>
    </row>
    <row r="1062" spans="1:6" ht="13.5">
      <c r="A1062" s="86"/>
      <c r="B1062" s="91"/>
      <c r="C1062" s="92"/>
      <c r="D1062" s="82"/>
      <c r="E1062" s="82"/>
      <c r="F1062" s="96"/>
    </row>
    <row r="1063" spans="1:6" ht="13.5">
      <c r="A1063" s="86"/>
      <c r="B1063" s="91"/>
      <c r="C1063" s="92"/>
      <c r="D1063" s="82"/>
      <c r="E1063" s="82"/>
      <c r="F1063" s="96"/>
    </row>
    <row r="1064" spans="1:6" ht="13.5">
      <c r="A1064" s="86"/>
      <c r="B1064" s="91"/>
      <c r="C1064" s="92"/>
      <c r="D1064" s="82"/>
      <c r="E1064" s="82"/>
      <c r="F1064" s="96"/>
    </row>
    <row r="1065" spans="1:6" ht="13.5">
      <c r="A1065" s="86"/>
      <c r="B1065" s="91"/>
      <c r="C1065" s="92"/>
      <c r="D1065" s="82"/>
      <c r="E1065" s="82"/>
      <c r="F1065" s="96"/>
    </row>
    <row r="1066" spans="1:6" ht="13.5">
      <c r="A1066" s="86"/>
      <c r="B1066" s="91"/>
      <c r="C1066" s="92"/>
      <c r="D1066" s="82"/>
      <c r="E1066" s="82"/>
      <c r="F1066" s="96"/>
    </row>
    <row r="1067" spans="1:6" ht="13.5">
      <c r="A1067" s="86"/>
      <c r="B1067" s="91"/>
      <c r="C1067" s="92"/>
      <c r="D1067" s="82"/>
      <c r="E1067" s="82"/>
      <c r="F1067" s="96"/>
    </row>
    <row r="1068" spans="1:6" ht="13.5">
      <c r="A1068" s="86"/>
      <c r="B1068" s="91"/>
      <c r="C1068" s="92"/>
      <c r="D1068" s="82"/>
      <c r="E1068" s="82"/>
      <c r="F1068" s="96"/>
    </row>
    <row r="1069" spans="1:6" ht="13.5">
      <c r="A1069" s="86"/>
      <c r="B1069" s="91"/>
      <c r="C1069" s="92"/>
      <c r="D1069" s="82"/>
      <c r="E1069" s="82"/>
      <c r="F1069" s="96"/>
    </row>
    <row r="1070" spans="1:6" ht="13.5">
      <c r="A1070" s="86"/>
      <c r="B1070" s="91"/>
      <c r="C1070" s="92"/>
      <c r="D1070" s="82"/>
      <c r="E1070" s="82"/>
      <c r="F1070" s="96"/>
    </row>
    <row r="1071" spans="1:6" ht="13.5">
      <c r="A1071" s="86"/>
      <c r="B1071" s="91"/>
      <c r="C1071" s="92"/>
      <c r="D1071" s="82"/>
      <c r="E1071" s="82"/>
      <c r="F1071" s="96"/>
    </row>
    <row r="1072" spans="1:6" ht="13.5">
      <c r="A1072" s="86"/>
      <c r="B1072" s="91"/>
      <c r="C1072" s="92"/>
      <c r="D1072" s="82"/>
      <c r="E1072" s="82"/>
      <c r="F1072" s="96"/>
    </row>
    <row r="1073" spans="1:6" ht="13.5">
      <c r="A1073" s="86"/>
      <c r="B1073" s="91"/>
      <c r="C1073" s="92"/>
      <c r="D1073" s="82"/>
      <c r="E1073" s="82"/>
      <c r="F1073" s="96"/>
    </row>
    <row r="1074" spans="1:6" ht="13.5">
      <c r="A1074" s="86"/>
      <c r="B1074" s="91"/>
      <c r="C1074" s="92"/>
      <c r="D1074" s="82"/>
      <c r="E1074" s="82"/>
      <c r="F1074" s="96"/>
    </row>
    <row r="1075" spans="1:6" ht="13.5">
      <c r="A1075" s="86"/>
      <c r="B1075" s="91"/>
      <c r="C1075" s="92"/>
      <c r="D1075" s="82"/>
      <c r="E1075" s="82"/>
      <c r="F1075" s="96"/>
    </row>
    <row r="1076" spans="1:6" ht="13.5">
      <c r="A1076" s="86"/>
      <c r="B1076" s="91"/>
      <c r="C1076" s="92"/>
      <c r="D1076" s="82"/>
      <c r="E1076" s="82"/>
      <c r="F1076" s="96"/>
    </row>
    <row r="1077" spans="1:6" ht="13.5">
      <c r="A1077" s="86"/>
      <c r="B1077" s="91"/>
      <c r="C1077" s="92"/>
      <c r="D1077" s="82"/>
      <c r="E1077" s="82"/>
      <c r="F1077" s="96"/>
    </row>
    <row r="1078" spans="1:6" ht="13.5">
      <c r="A1078" s="86"/>
      <c r="B1078" s="91"/>
      <c r="C1078" s="92"/>
      <c r="D1078" s="82"/>
      <c r="E1078" s="82"/>
      <c r="F1078" s="96"/>
    </row>
    <row r="1079" spans="1:6" ht="13.5">
      <c r="A1079" s="86"/>
      <c r="B1079" s="91"/>
      <c r="C1079" s="92"/>
      <c r="D1079" s="82"/>
      <c r="E1079" s="82"/>
      <c r="F1079" s="96"/>
    </row>
    <row r="1080" spans="1:6" ht="13.5">
      <c r="A1080" s="86"/>
      <c r="B1080" s="91"/>
      <c r="C1080" s="92"/>
      <c r="D1080" s="82"/>
      <c r="E1080" s="82"/>
      <c r="F1080" s="96"/>
    </row>
    <row r="1081" spans="1:6" ht="13.5">
      <c r="A1081" s="86"/>
      <c r="B1081" s="91"/>
      <c r="C1081" s="92"/>
      <c r="D1081" s="82"/>
      <c r="E1081" s="82"/>
      <c r="F1081" s="96"/>
    </row>
    <row r="1082" spans="1:6" ht="13.5">
      <c r="A1082" s="86"/>
      <c r="B1082" s="91"/>
      <c r="C1082" s="92"/>
      <c r="D1082" s="82"/>
      <c r="E1082" s="82"/>
      <c r="F1082" s="96"/>
    </row>
    <row r="1083" spans="1:6" ht="13.5">
      <c r="A1083" s="86"/>
      <c r="B1083" s="91"/>
      <c r="C1083" s="92"/>
      <c r="D1083" s="82"/>
      <c r="E1083" s="82"/>
      <c r="F1083" s="96"/>
    </row>
    <row r="1084" spans="1:6" ht="13.5">
      <c r="A1084" s="86"/>
      <c r="B1084" s="91"/>
      <c r="C1084" s="92"/>
      <c r="D1084" s="82"/>
      <c r="E1084" s="82"/>
      <c r="F1084" s="96"/>
    </row>
    <row r="1085" spans="1:6" ht="13.5">
      <c r="A1085" s="86"/>
      <c r="B1085" s="91"/>
      <c r="C1085" s="92"/>
      <c r="D1085" s="82"/>
      <c r="E1085" s="82"/>
      <c r="F1085" s="96"/>
    </row>
    <row r="1086" spans="1:6" ht="13.5">
      <c r="A1086" s="86"/>
      <c r="B1086" s="91"/>
      <c r="C1086" s="92"/>
      <c r="D1086" s="82"/>
      <c r="E1086" s="82"/>
      <c r="F1086" s="96"/>
    </row>
    <row r="1087" spans="1:6" ht="13.5">
      <c r="A1087" s="86"/>
      <c r="B1087" s="91"/>
      <c r="C1087" s="92"/>
      <c r="D1087" s="82"/>
      <c r="E1087" s="82"/>
      <c r="F1087" s="96"/>
    </row>
    <row r="1088" spans="1:6" ht="13.5">
      <c r="A1088" s="86"/>
      <c r="B1088" s="91"/>
      <c r="C1088" s="92"/>
      <c r="D1088" s="82"/>
      <c r="E1088" s="82"/>
      <c r="F1088" s="96"/>
    </row>
    <row r="1089" spans="1:6" ht="13.5">
      <c r="A1089" s="86"/>
      <c r="B1089" s="91"/>
      <c r="C1089" s="92"/>
      <c r="D1089" s="82"/>
      <c r="E1089" s="82"/>
      <c r="F1089" s="96"/>
    </row>
    <row r="1090" spans="1:6" ht="13.5">
      <c r="A1090" s="86"/>
      <c r="B1090" s="91"/>
      <c r="C1090" s="92"/>
      <c r="D1090" s="82"/>
      <c r="E1090" s="82"/>
      <c r="F1090" s="96"/>
    </row>
    <row r="1091" spans="1:6" ht="13.5">
      <c r="A1091" s="86"/>
      <c r="B1091" s="91"/>
      <c r="C1091" s="92"/>
      <c r="D1091" s="82"/>
      <c r="E1091" s="82"/>
      <c r="F1091" s="96"/>
    </row>
    <row r="1092" spans="1:6" ht="13.5">
      <c r="A1092" s="86"/>
      <c r="B1092" s="91"/>
      <c r="C1092" s="92"/>
      <c r="D1092" s="82"/>
      <c r="E1092" s="82"/>
      <c r="F1092" s="96"/>
    </row>
    <row r="1093" spans="1:6" ht="13.5">
      <c r="A1093" s="86"/>
      <c r="B1093" s="91"/>
      <c r="C1093" s="92"/>
      <c r="D1093" s="82"/>
      <c r="E1093" s="82"/>
      <c r="F1093" s="96"/>
    </row>
    <row r="1094" spans="1:6" ht="13.5">
      <c r="A1094" s="86"/>
      <c r="B1094" s="91"/>
      <c r="C1094" s="92"/>
      <c r="D1094" s="82"/>
      <c r="E1094" s="82"/>
      <c r="F1094" s="96"/>
    </row>
    <row r="1095" spans="1:6" ht="13.5">
      <c r="A1095" s="86"/>
      <c r="B1095" s="91"/>
      <c r="C1095" s="92"/>
      <c r="D1095" s="82"/>
      <c r="E1095" s="82"/>
      <c r="F1095" s="96"/>
    </row>
    <row r="1096" spans="1:6" ht="13.5">
      <c r="A1096" s="86"/>
      <c r="B1096" s="91"/>
      <c r="C1096" s="92"/>
      <c r="D1096" s="82"/>
      <c r="E1096" s="82"/>
      <c r="F1096" s="96"/>
    </row>
    <row r="1097" spans="1:6" ht="13.5">
      <c r="A1097" s="86"/>
      <c r="B1097" s="91"/>
      <c r="C1097" s="92"/>
      <c r="D1097" s="82"/>
      <c r="E1097" s="82"/>
      <c r="F1097" s="96"/>
    </row>
    <row r="1098" spans="1:6" ht="13.5">
      <c r="A1098" s="86"/>
      <c r="B1098" s="91"/>
      <c r="C1098" s="92"/>
      <c r="D1098" s="82"/>
      <c r="E1098" s="82"/>
      <c r="F1098" s="96"/>
    </row>
    <row r="1099" spans="1:6" ht="13.5">
      <c r="A1099" s="86"/>
      <c r="B1099" s="91"/>
      <c r="C1099" s="92"/>
      <c r="D1099" s="82"/>
      <c r="E1099" s="82"/>
      <c r="F1099" s="96"/>
    </row>
    <row r="1100" spans="1:6" ht="13.5">
      <c r="A1100" s="86"/>
      <c r="B1100" s="91"/>
      <c r="C1100" s="92"/>
      <c r="D1100" s="82"/>
      <c r="E1100" s="82"/>
      <c r="F1100" s="96"/>
    </row>
    <row r="1101" spans="1:6" ht="13.5">
      <c r="A1101" s="86"/>
      <c r="B1101" s="91"/>
      <c r="C1101" s="92"/>
      <c r="D1101" s="82"/>
      <c r="E1101" s="82"/>
      <c r="F1101" s="96"/>
    </row>
    <row r="1102" spans="1:6" ht="13.5">
      <c r="A1102" s="86"/>
      <c r="B1102" s="91"/>
      <c r="C1102" s="92"/>
      <c r="D1102" s="82"/>
      <c r="E1102" s="82"/>
      <c r="F1102" s="96"/>
    </row>
    <row r="1103" spans="1:6" ht="13.5">
      <c r="A1103" s="86"/>
      <c r="B1103" s="91"/>
      <c r="C1103" s="92"/>
      <c r="D1103" s="82"/>
      <c r="E1103" s="82"/>
      <c r="F1103" s="96"/>
    </row>
    <row r="1104" spans="1:6" ht="13.5">
      <c r="A1104" s="86"/>
      <c r="B1104" s="91"/>
      <c r="C1104" s="92"/>
      <c r="D1104" s="82"/>
      <c r="E1104" s="82"/>
      <c r="F1104" s="96"/>
    </row>
    <row r="1105" spans="1:6" ht="13.5">
      <c r="A1105" s="86"/>
      <c r="B1105" s="91"/>
      <c r="C1105" s="92"/>
      <c r="D1105" s="82"/>
      <c r="E1105" s="82"/>
      <c r="F1105" s="96"/>
    </row>
    <row r="1106" spans="1:6" ht="13.5">
      <c r="A1106" s="86"/>
      <c r="B1106" s="91"/>
      <c r="C1106" s="92"/>
      <c r="D1106" s="82"/>
      <c r="E1106" s="82"/>
      <c r="F1106" s="96"/>
    </row>
    <row r="1107" spans="1:6" ht="13.5">
      <c r="A1107" s="86"/>
      <c r="B1107" s="91"/>
      <c r="C1107" s="92"/>
      <c r="D1107" s="82"/>
      <c r="E1107" s="82"/>
      <c r="F1107" s="96"/>
    </row>
    <row r="1108" spans="1:6" ht="13.5">
      <c r="A1108" s="86"/>
      <c r="B1108" s="91"/>
      <c r="C1108" s="92"/>
      <c r="D1108" s="82"/>
      <c r="E1108" s="82"/>
      <c r="F1108" s="96"/>
    </row>
    <row r="1109" spans="1:6" ht="13.5">
      <c r="A1109" s="86"/>
      <c r="B1109" s="91"/>
      <c r="C1109" s="92"/>
      <c r="D1109" s="82"/>
      <c r="E1109" s="82"/>
      <c r="F1109" s="96"/>
    </row>
    <row r="1110" spans="1:6" ht="13.5">
      <c r="A1110" s="86"/>
      <c r="B1110" s="91"/>
      <c r="C1110" s="92"/>
      <c r="D1110" s="82"/>
      <c r="E1110" s="82"/>
      <c r="F1110" s="96"/>
    </row>
    <row r="1111" spans="1:6" ht="13.5">
      <c r="A1111" s="86"/>
      <c r="B1111" s="91"/>
      <c r="C1111" s="92"/>
      <c r="D1111" s="82"/>
      <c r="E1111" s="82"/>
      <c r="F1111" s="96"/>
    </row>
    <row r="1112" spans="1:6" ht="13.5">
      <c r="A1112" s="86"/>
      <c r="B1112" s="91"/>
      <c r="C1112" s="92"/>
      <c r="D1112" s="82"/>
      <c r="E1112" s="82"/>
      <c r="F1112" s="96"/>
    </row>
    <row r="1113" spans="1:6" ht="13.5">
      <c r="A1113" s="86"/>
      <c r="B1113" s="91"/>
      <c r="C1113" s="92"/>
      <c r="D1113" s="82"/>
      <c r="E1113" s="82"/>
      <c r="F1113" s="96"/>
    </row>
    <row r="1114" spans="1:6" ht="13.5">
      <c r="A1114" s="86"/>
      <c r="B1114" s="91"/>
      <c r="C1114" s="92"/>
      <c r="D1114" s="82"/>
      <c r="E1114" s="82"/>
      <c r="F1114" s="96"/>
    </row>
    <row r="1115" spans="1:6" ht="13.5">
      <c r="A1115" s="86"/>
      <c r="B1115" s="91"/>
      <c r="C1115" s="92"/>
      <c r="D1115" s="82"/>
      <c r="E1115" s="82"/>
      <c r="F1115" s="96"/>
    </row>
    <row r="1116" spans="1:6" ht="13.5">
      <c r="A1116" s="86"/>
      <c r="B1116" s="91"/>
      <c r="C1116" s="92"/>
      <c r="D1116" s="82"/>
      <c r="E1116" s="82"/>
      <c r="F1116" s="96"/>
    </row>
    <row r="1117" spans="1:6" ht="13.5">
      <c r="A1117" s="86"/>
      <c r="B1117" s="91"/>
      <c r="C1117" s="92"/>
      <c r="D1117" s="82"/>
      <c r="E1117" s="82"/>
      <c r="F1117" s="96"/>
    </row>
    <row r="1118" spans="1:6" ht="13.5">
      <c r="A1118" s="86"/>
      <c r="B1118" s="91"/>
      <c r="C1118" s="92"/>
      <c r="D1118" s="82"/>
      <c r="E1118" s="82"/>
      <c r="F1118" s="96"/>
    </row>
    <row r="1119" spans="1:6" ht="13.5">
      <c r="A1119" s="86"/>
      <c r="B1119" s="91"/>
      <c r="C1119" s="92"/>
      <c r="D1119" s="82"/>
      <c r="E1119" s="82"/>
      <c r="F1119" s="96"/>
    </row>
    <row r="1120" spans="1:6" ht="13.5">
      <c r="A1120" s="86"/>
      <c r="B1120" s="91"/>
      <c r="C1120" s="92"/>
      <c r="D1120" s="82"/>
      <c r="E1120" s="82"/>
      <c r="F1120" s="96"/>
    </row>
    <row r="1121" spans="1:6" ht="13.5">
      <c r="A1121" s="86"/>
      <c r="B1121" s="91"/>
      <c r="C1121" s="92"/>
      <c r="D1121" s="82"/>
      <c r="E1121" s="82"/>
      <c r="F1121" s="96"/>
    </row>
    <row r="1122" spans="1:6" ht="13.5">
      <c r="A1122" s="86"/>
      <c r="B1122" s="91"/>
      <c r="C1122" s="92"/>
      <c r="D1122" s="82"/>
      <c r="E1122" s="82"/>
      <c r="F1122" s="96"/>
    </row>
    <row r="1123" spans="1:6" ht="13.5">
      <c r="A1123" s="86"/>
      <c r="B1123" s="91"/>
      <c r="C1123" s="92"/>
      <c r="D1123" s="82"/>
      <c r="E1123" s="82"/>
      <c r="F1123" s="96"/>
    </row>
    <row r="1124" spans="1:6" ht="13.5">
      <c r="A1124" s="86"/>
      <c r="B1124" s="91"/>
      <c r="C1124" s="92"/>
      <c r="D1124" s="82"/>
      <c r="E1124" s="82"/>
      <c r="F1124" s="96"/>
    </row>
    <row r="1125" spans="1:6" ht="13.5">
      <c r="A1125" s="86"/>
      <c r="B1125" s="91"/>
      <c r="C1125" s="92"/>
      <c r="D1125" s="82"/>
      <c r="E1125" s="82"/>
      <c r="F1125" s="96"/>
    </row>
    <row r="1126" spans="1:6" ht="13.5">
      <c r="A1126" s="86"/>
      <c r="B1126" s="91"/>
      <c r="C1126" s="92"/>
      <c r="D1126" s="82"/>
      <c r="E1126" s="82"/>
      <c r="F1126" s="96"/>
    </row>
    <row r="1127" spans="1:6" ht="13.5">
      <c r="A1127" s="86"/>
      <c r="B1127" s="91"/>
      <c r="C1127" s="92"/>
      <c r="D1127" s="82"/>
      <c r="E1127" s="82"/>
      <c r="F1127" s="96"/>
    </row>
    <row r="1128" spans="1:6" ht="13.5">
      <c r="A1128" s="86"/>
      <c r="B1128" s="91"/>
      <c r="C1128" s="92"/>
      <c r="D1128" s="82"/>
      <c r="E1128" s="82"/>
      <c r="F1128" s="96"/>
    </row>
    <row r="1129" spans="1:6" ht="13.5">
      <c r="A1129" s="86"/>
      <c r="B1129" s="91"/>
      <c r="C1129" s="92"/>
      <c r="D1129" s="82"/>
      <c r="E1129" s="82"/>
      <c r="F1129" s="96"/>
    </row>
    <row r="1130" spans="1:6" ht="13.5">
      <c r="A1130" s="86"/>
      <c r="B1130" s="91"/>
      <c r="C1130" s="92"/>
      <c r="D1130" s="82"/>
      <c r="E1130" s="82"/>
      <c r="F1130" s="96"/>
    </row>
    <row r="1131" spans="1:6" ht="13.5">
      <c r="A1131" s="86"/>
      <c r="B1131" s="91"/>
      <c r="C1131" s="92"/>
      <c r="D1131" s="82"/>
      <c r="E1131" s="82"/>
      <c r="F1131" s="96"/>
    </row>
    <row r="1132" spans="1:6" ht="13.5">
      <c r="A1132" s="86"/>
      <c r="B1132" s="91"/>
      <c r="C1132" s="92"/>
      <c r="D1132" s="82"/>
      <c r="E1132" s="82"/>
      <c r="F1132" s="96"/>
    </row>
    <row r="1133" spans="1:6" ht="13.5">
      <c r="A1133" s="86"/>
      <c r="B1133" s="91"/>
      <c r="C1133" s="92"/>
      <c r="D1133" s="82"/>
      <c r="E1133" s="82"/>
      <c r="F1133" s="96"/>
    </row>
    <row r="1134" spans="1:6" ht="13.5">
      <c r="A1134" s="86"/>
      <c r="B1134" s="91"/>
      <c r="C1134" s="92"/>
      <c r="D1134" s="82"/>
      <c r="E1134" s="82"/>
      <c r="F1134" s="96"/>
    </row>
    <row r="1135" spans="1:6" ht="13.5">
      <c r="A1135" s="86"/>
      <c r="B1135" s="91"/>
      <c r="C1135" s="92"/>
      <c r="D1135" s="82"/>
      <c r="E1135" s="82"/>
      <c r="F1135" s="96"/>
    </row>
    <row r="1136" spans="1:6" ht="13.5">
      <c r="A1136" s="86"/>
      <c r="B1136" s="91"/>
      <c r="C1136" s="92"/>
      <c r="D1136" s="82"/>
      <c r="E1136" s="82"/>
      <c r="F1136" s="96"/>
    </row>
    <row r="1137" spans="1:6" ht="13.5">
      <c r="A1137" s="86"/>
      <c r="B1137" s="91"/>
      <c r="C1137" s="92"/>
      <c r="D1137" s="82"/>
      <c r="E1137" s="82"/>
      <c r="F1137" s="96"/>
    </row>
    <row r="1138" spans="1:6" ht="13.5">
      <c r="A1138" s="86"/>
      <c r="B1138" s="91"/>
      <c r="C1138" s="92"/>
      <c r="D1138" s="82"/>
      <c r="E1138" s="82"/>
      <c r="F1138" s="96"/>
    </row>
    <row r="1139" spans="1:6" ht="13.5">
      <c r="A1139" s="86"/>
      <c r="B1139" s="91"/>
      <c r="C1139" s="92"/>
      <c r="D1139" s="82"/>
      <c r="E1139" s="82"/>
      <c r="F1139" s="96"/>
    </row>
    <row r="1140" spans="1:6" ht="13.5">
      <c r="A1140" s="86"/>
      <c r="B1140" s="91"/>
      <c r="C1140" s="92"/>
      <c r="D1140" s="82"/>
      <c r="E1140" s="82"/>
      <c r="F1140" s="96"/>
    </row>
    <row r="1141" spans="1:6" ht="13.5">
      <c r="A1141" s="86"/>
      <c r="B1141" s="91"/>
      <c r="C1141" s="92"/>
      <c r="D1141" s="82"/>
      <c r="E1141" s="82"/>
      <c r="F1141" s="96"/>
    </row>
    <row r="1142" spans="1:6" ht="13.5">
      <c r="A1142" s="86"/>
      <c r="B1142" s="91"/>
      <c r="C1142" s="92"/>
      <c r="D1142" s="82"/>
      <c r="E1142" s="82"/>
      <c r="F1142" s="96"/>
    </row>
    <row r="1143" spans="1:6" ht="13.5">
      <c r="A1143" s="86"/>
      <c r="B1143" s="91"/>
      <c r="C1143" s="92"/>
      <c r="D1143" s="82"/>
      <c r="E1143" s="82"/>
      <c r="F1143" s="96"/>
    </row>
    <row r="1144" spans="1:6" ht="13.5">
      <c r="A1144" s="86"/>
      <c r="B1144" s="91"/>
      <c r="C1144" s="92"/>
      <c r="D1144" s="82"/>
      <c r="E1144" s="82"/>
      <c r="F1144" s="96"/>
    </row>
    <row r="1145" spans="1:6" ht="13.5">
      <c r="A1145" s="86"/>
      <c r="B1145" s="91"/>
      <c r="C1145" s="92"/>
      <c r="D1145" s="82"/>
      <c r="E1145" s="82"/>
      <c r="F1145" s="96"/>
    </row>
    <row r="1146" spans="1:6" ht="13.5">
      <c r="A1146" s="86"/>
      <c r="B1146" s="91"/>
      <c r="C1146" s="92"/>
      <c r="D1146" s="82"/>
      <c r="E1146" s="82"/>
      <c r="F1146" s="96"/>
    </row>
    <row r="1147" spans="1:6" ht="13.5">
      <c r="A1147" s="86"/>
      <c r="B1147" s="91"/>
      <c r="C1147" s="92"/>
      <c r="D1147" s="82"/>
      <c r="E1147" s="82"/>
      <c r="F1147" s="96"/>
    </row>
    <row r="1148" spans="1:6" ht="13.5">
      <c r="A1148" s="86"/>
      <c r="B1148" s="91"/>
      <c r="C1148" s="92"/>
      <c r="D1148" s="82"/>
      <c r="E1148" s="82"/>
      <c r="F1148" s="96"/>
    </row>
    <row r="1149" spans="1:6" ht="13.5">
      <c r="A1149" s="86"/>
      <c r="B1149" s="91"/>
      <c r="C1149" s="92"/>
      <c r="D1149" s="82"/>
      <c r="E1149" s="82"/>
      <c r="F1149" s="96"/>
    </row>
    <row r="1150" spans="1:6" ht="13.5">
      <c r="A1150" s="86"/>
      <c r="B1150" s="91"/>
      <c r="C1150" s="92"/>
      <c r="D1150" s="82"/>
      <c r="E1150" s="82"/>
      <c r="F1150" s="96"/>
    </row>
    <row r="1151" spans="1:6" ht="13.5">
      <c r="A1151" s="86"/>
      <c r="B1151" s="91"/>
      <c r="C1151" s="92"/>
      <c r="D1151" s="82"/>
      <c r="E1151" s="82"/>
      <c r="F1151" s="96"/>
    </row>
    <row r="1152" spans="1:6" ht="13.5">
      <c r="A1152" s="86"/>
      <c r="B1152" s="91"/>
      <c r="C1152" s="92"/>
      <c r="D1152" s="82"/>
      <c r="E1152" s="82"/>
      <c r="F1152" s="96"/>
    </row>
    <row r="1153" spans="1:6" ht="13.5">
      <c r="A1153" s="86"/>
      <c r="B1153" s="91"/>
      <c r="C1153" s="92"/>
      <c r="D1153" s="82"/>
      <c r="E1153" s="82"/>
      <c r="F1153" s="96"/>
    </row>
    <row r="1154" spans="1:6" ht="13.5">
      <c r="A1154" s="86"/>
      <c r="B1154" s="91"/>
      <c r="C1154" s="92"/>
      <c r="D1154" s="82"/>
      <c r="E1154" s="82"/>
      <c r="F1154" s="96"/>
    </row>
    <row r="1155" spans="1:6" ht="13.5">
      <c r="A1155" s="86"/>
      <c r="B1155" s="91"/>
      <c r="C1155" s="92"/>
      <c r="D1155" s="82"/>
      <c r="E1155" s="82"/>
      <c r="F1155" s="96"/>
    </row>
    <row r="1156" spans="1:6" ht="13.5">
      <c r="A1156" s="86"/>
      <c r="B1156" s="91"/>
      <c r="C1156" s="92"/>
      <c r="D1156" s="82"/>
      <c r="E1156" s="82"/>
      <c r="F1156" s="96"/>
    </row>
    <row r="1157" spans="1:6" ht="13.5">
      <c r="A1157" s="86"/>
      <c r="B1157" s="91"/>
      <c r="C1157" s="92"/>
      <c r="D1157" s="82"/>
      <c r="E1157" s="82"/>
      <c r="F1157" s="96"/>
    </row>
    <row r="1158" spans="1:6" ht="13.5">
      <c r="A1158" s="86"/>
      <c r="B1158" s="91"/>
      <c r="C1158" s="92"/>
      <c r="D1158" s="82"/>
      <c r="E1158" s="82"/>
      <c r="F1158" s="96"/>
    </row>
    <row r="1159" spans="1:6" ht="13.5">
      <c r="A1159" s="86"/>
      <c r="B1159" s="91"/>
      <c r="C1159" s="92"/>
      <c r="D1159" s="82"/>
      <c r="E1159" s="82"/>
      <c r="F1159" s="96"/>
    </row>
    <row r="1160" spans="1:6" ht="13.5">
      <c r="A1160" s="86"/>
      <c r="B1160" s="91"/>
      <c r="C1160" s="92"/>
      <c r="D1160" s="82"/>
      <c r="E1160" s="82"/>
      <c r="F1160" s="96"/>
    </row>
    <row r="1161" spans="1:6" ht="13.5">
      <c r="A1161" s="86"/>
      <c r="B1161" s="91"/>
      <c r="C1161" s="92"/>
      <c r="D1161" s="82"/>
      <c r="E1161" s="82"/>
      <c r="F1161" s="96"/>
    </row>
    <row r="1162" spans="1:6" ht="13.5">
      <c r="A1162" s="86"/>
      <c r="B1162" s="91"/>
      <c r="C1162" s="92"/>
      <c r="D1162" s="82"/>
      <c r="E1162" s="82"/>
      <c r="F1162" s="96"/>
    </row>
    <row r="1163" spans="1:6" ht="13.5">
      <c r="A1163" s="86"/>
      <c r="B1163" s="91"/>
      <c r="C1163" s="92"/>
      <c r="D1163" s="82"/>
      <c r="E1163" s="82"/>
      <c r="F1163" s="96"/>
    </row>
    <row r="1164" spans="1:6" ht="13.5">
      <c r="A1164" s="86"/>
      <c r="B1164" s="91"/>
      <c r="C1164" s="92"/>
      <c r="D1164" s="82"/>
      <c r="E1164" s="82"/>
      <c r="F1164" s="96"/>
    </row>
    <row r="1165" spans="1:6" ht="13.5">
      <c r="A1165" s="86"/>
      <c r="B1165" s="91"/>
      <c r="C1165" s="92"/>
      <c r="D1165" s="82"/>
      <c r="E1165" s="82"/>
      <c r="F1165" s="96"/>
    </row>
    <row r="1166" spans="1:6" ht="13.5">
      <c r="A1166" s="86"/>
      <c r="B1166" s="91"/>
      <c r="C1166" s="92"/>
      <c r="D1166" s="82"/>
      <c r="E1166" s="82"/>
      <c r="F1166" s="96"/>
    </row>
    <row r="1167" spans="1:6" ht="13.5">
      <c r="A1167" s="86"/>
      <c r="B1167" s="91"/>
      <c r="C1167" s="92"/>
      <c r="D1167" s="82"/>
      <c r="E1167" s="82"/>
      <c r="F1167" s="96"/>
    </row>
    <row r="1168" spans="1:6" ht="13.5">
      <c r="A1168" s="86"/>
      <c r="B1168" s="91"/>
      <c r="C1168" s="92"/>
      <c r="D1168" s="82"/>
      <c r="E1168" s="82"/>
      <c r="F1168" s="96"/>
    </row>
    <row r="1169" spans="1:6" ht="13.5">
      <c r="A1169" s="86"/>
      <c r="B1169" s="91"/>
      <c r="C1169" s="92"/>
      <c r="D1169" s="82"/>
      <c r="E1169" s="82"/>
      <c r="F1169" s="96"/>
    </row>
    <row r="1170" spans="1:6" ht="13.5">
      <c r="A1170" s="86"/>
      <c r="B1170" s="91"/>
      <c r="C1170" s="92"/>
      <c r="D1170" s="82"/>
      <c r="E1170" s="82"/>
      <c r="F1170" s="96"/>
    </row>
    <row r="1171" spans="1:6" ht="13.5">
      <c r="A1171" s="86"/>
      <c r="B1171" s="91"/>
      <c r="C1171" s="92"/>
      <c r="D1171" s="82"/>
      <c r="E1171" s="82"/>
      <c r="F1171" s="96"/>
    </row>
    <row r="1172" spans="1:6" ht="13.5">
      <c r="A1172" s="86"/>
      <c r="B1172" s="91"/>
      <c r="C1172" s="92"/>
      <c r="D1172" s="82"/>
      <c r="E1172" s="82"/>
      <c r="F1172" s="96"/>
    </row>
    <row r="1173" spans="1:6" ht="13.5">
      <c r="A1173" s="86"/>
      <c r="B1173" s="91"/>
      <c r="C1173" s="92"/>
      <c r="D1173" s="82"/>
      <c r="E1173" s="82"/>
      <c r="F1173" s="96"/>
    </row>
    <row r="1174" spans="1:6" ht="13.5">
      <c r="A1174" s="86"/>
      <c r="B1174" s="91"/>
      <c r="C1174" s="92"/>
      <c r="D1174" s="82"/>
      <c r="E1174" s="82"/>
      <c r="F1174" s="96"/>
    </row>
    <row r="1175" spans="1:6" ht="13.5">
      <c r="A1175" s="86"/>
      <c r="B1175" s="91"/>
      <c r="C1175" s="92"/>
      <c r="D1175" s="82"/>
      <c r="E1175" s="82"/>
      <c r="F1175" s="96"/>
    </row>
    <row r="1176" spans="1:6" ht="13.5">
      <c r="A1176" s="86"/>
      <c r="B1176" s="91"/>
      <c r="C1176" s="92"/>
      <c r="D1176" s="82"/>
      <c r="E1176" s="82"/>
      <c r="F1176" s="96"/>
    </row>
    <row r="1177" spans="1:6" ht="13.5">
      <c r="A1177" s="86"/>
      <c r="B1177" s="91"/>
      <c r="C1177" s="92"/>
      <c r="D1177" s="82"/>
      <c r="E1177" s="82"/>
      <c r="F1177" s="96"/>
    </row>
    <row r="1178" spans="1:6" ht="13.5">
      <c r="A1178" s="86"/>
      <c r="B1178" s="91"/>
      <c r="C1178" s="92"/>
      <c r="D1178" s="82"/>
      <c r="E1178" s="82"/>
      <c r="F1178" s="96"/>
    </row>
    <row r="1179" spans="1:6" ht="13.5">
      <c r="A1179" s="86"/>
      <c r="B1179" s="91"/>
      <c r="C1179" s="92"/>
      <c r="D1179" s="82"/>
      <c r="E1179" s="82"/>
      <c r="F1179" s="96"/>
    </row>
    <row r="1180" spans="1:6" ht="13.5">
      <c r="A1180" s="86"/>
      <c r="B1180" s="91"/>
      <c r="C1180" s="92"/>
      <c r="D1180" s="82"/>
      <c r="E1180" s="82"/>
      <c r="F1180" s="96"/>
    </row>
    <row r="1181" spans="1:6" ht="13.5">
      <c r="A1181" s="86"/>
      <c r="B1181" s="91"/>
      <c r="C1181" s="92"/>
      <c r="D1181" s="82"/>
      <c r="E1181" s="82"/>
      <c r="F1181" s="96"/>
    </row>
    <row r="1182" spans="1:6" ht="13.5">
      <c r="A1182" s="86"/>
      <c r="B1182" s="91"/>
      <c r="C1182" s="92"/>
      <c r="D1182" s="82"/>
      <c r="E1182" s="82"/>
      <c r="F1182" s="96"/>
    </row>
    <row r="1183" spans="1:6" ht="13.5">
      <c r="A1183" s="86"/>
      <c r="B1183" s="91"/>
      <c r="C1183" s="92"/>
      <c r="D1183" s="82"/>
      <c r="E1183" s="82"/>
      <c r="F1183" s="96"/>
    </row>
    <row r="1184" spans="1:6" ht="13.5">
      <c r="A1184" s="86"/>
      <c r="B1184" s="91"/>
      <c r="C1184" s="92"/>
      <c r="D1184" s="82"/>
      <c r="E1184" s="82"/>
      <c r="F1184" s="96"/>
    </row>
    <row r="1185" spans="1:6" ht="13.5">
      <c r="A1185" s="86"/>
      <c r="B1185" s="91"/>
      <c r="C1185" s="92"/>
      <c r="D1185" s="82"/>
      <c r="E1185" s="82"/>
      <c r="F1185" s="96"/>
    </row>
    <row r="1186" spans="1:6" ht="13.5">
      <c r="A1186" s="86"/>
      <c r="B1186" s="91"/>
      <c r="C1186" s="92"/>
      <c r="D1186" s="82"/>
      <c r="E1186" s="82"/>
      <c r="F1186" s="96"/>
    </row>
    <row r="1187" spans="1:6" ht="13.5">
      <c r="A1187" s="86"/>
      <c r="B1187" s="91"/>
      <c r="C1187" s="92"/>
      <c r="D1187" s="82"/>
      <c r="E1187" s="82"/>
      <c r="F1187" s="96"/>
    </row>
    <row r="1188" spans="1:6" ht="13.5">
      <c r="A1188" s="86"/>
      <c r="B1188" s="91"/>
      <c r="C1188" s="92"/>
      <c r="D1188" s="82"/>
      <c r="E1188" s="82"/>
      <c r="F1188" s="96"/>
    </row>
    <row r="1189" spans="1:6" ht="13.5">
      <c r="A1189" s="86"/>
      <c r="B1189" s="91"/>
      <c r="C1189" s="92"/>
      <c r="D1189" s="82"/>
      <c r="E1189" s="82"/>
      <c r="F1189" s="96"/>
    </row>
    <row r="1190" spans="1:6" ht="13.5">
      <c r="A1190" s="86"/>
      <c r="B1190" s="91"/>
      <c r="C1190" s="92"/>
      <c r="D1190" s="82"/>
      <c r="E1190" s="82"/>
      <c r="F1190" s="96"/>
    </row>
    <row r="1191" spans="1:6" ht="13.5">
      <c r="A1191" s="86"/>
      <c r="B1191" s="91"/>
      <c r="C1191" s="92"/>
      <c r="D1191" s="82"/>
      <c r="E1191" s="82"/>
      <c r="F1191" s="96"/>
    </row>
    <row r="1192" spans="1:6" ht="13.5">
      <c r="A1192" s="86"/>
      <c r="B1192" s="91"/>
      <c r="C1192" s="92"/>
      <c r="D1192" s="82"/>
      <c r="E1192" s="82"/>
      <c r="F1192" s="96"/>
    </row>
    <row r="1193" spans="1:6" ht="13.5">
      <c r="A1193" s="86"/>
      <c r="B1193" s="91"/>
      <c r="C1193" s="92"/>
      <c r="D1193" s="82"/>
      <c r="E1193" s="82"/>
      <c r="F1193" s="96"/>
    </row>
    <row r="1194" spans="1:6" ht="13.5">
      <c r="A1194" s="86"/>
      <c r="B1194" s="91"/>
      <c r="C1194" s="92"/>
      <c r="D1194" s="82"/>
      <c r="E1194" s="82"/>
      <c r="F1194" s="96"/>
    </row>
    <row r="1195" spans="1:6" ht="13.5">
      <c r="A1195" s="86"/>
      <c r="B1195" s="91"/>
      <c r="C1195" s="92"/>
      <c r="D1195" s="82"/>
      <c r="E1195" s="82"/>
      <c r="F1195" s="96"/>
    </row>
    <row r="1196" spans="1:6" ht="13.5">
      <c r="A1196" s="86"/>
      <c r="B1196" s="91"/>
      <c r="C1196" s="92"/>
      <c r="D1196" s="82"/>
      <c r="E1196" s="82"/>
      <c r="F1196" s="96"/>
    </row>
    <row r="1197" spans="1:6" ht="13.5">
      <c r="A1197" s="86"/>
      <c r="B1197" s="91"/>
      <c r="C1197" s="92"/>
      <c r="D1197" s="82"/>
      <c r="E1197" s="82"/>
      <c r="F1197" s="96"/>
    </row>
    <row r="1198" spans="1:6" ht="13.5">
      <c r="A1198" s="86"/>
      <c r="B1198" s="91"/>
      <c r="C1198" s="92"/>
      <c r="D1198" s="82"/>
      <c r="E1198" s="82"/>
      <c r="F1198" s="96"/>
    </row>
    <row r="1199" spans="1:6" ht="13.5">
      <c r="A1199" s="86"/>
      <c r="B1199" s="91"/>
      <c r="C1199" s="92"/>
      <c r="D1199" s="82"/>
      <c r="E1199" s="82"/>
      <c r="F1199" s="96"/>
    </row>
    <row r="1200" spans="1:6" ht="13.5">
      <c r="A1200" s="86"/>
      <c r="B1200" s="91"/>
      <c r="C1200" s="92"/>
      <c r="D1200" s="82"/>
      <c r="E1200" s="82"/>
      <c r="F1200" s="96"/>
    </row>
    <row r="1201" spans="1:6" ht="13.5">
      <c r="A1201" s="86"/>
      <c r="B1201" s="91"/>
      <c r="C1201" s="92"/>
      <c r="D1201" s="82"/>
      <c r="E1201" s="82"/>
      <c r="F1201" s="96"/>
    </row>
    <row r="1202" spans="1:6" ht="13.5">
      <c r="A1202" s="86"/>
      <c r="B1202" s="91"/>
      <c r="C1202" s="92"/>
      <c r="D1202" s="82"/>
      <c r="E1202" s="82"/>
      <c r="F1202" s="96"/>
    </row>
    <row r="1203" spans="1:6" ht="13.5">
      <c r="A1203" s="86"/>
      <c r="B1203" s="91"/>
      <c r="C1203" s="92"/>
      <c r="D1203" s="82"/>
      <c r="E1203" s="82"/>
      <c r="F1203" s="96"/>
    </row>
    <row r="1204" spans="1:6" ht="13.5">
      <c r="A1204" s="86"/>
      <c r="B1204" s="91"/>
      <c r="C1204" s="92"/>
      <c r="D1204" s="82"/>
      <c r="E1204" s="82"/>
      <c r="F1204" s="96"/>
    </row>
    <row r="1205" spans="1:6" ht="13.5">
      <c r="A1205" s="86"/>
      <c r="B1205" s="91"/>
      <c r="C1205" s="92"/>
      <c r="D1205" s="82"/>
      <c r="E1205" s="82"/>
      <c r="F1205" s="96"/>
    </row>
    <row r="1206" spans="1:6" ht="13.5">
      <c r="A1206" s="86"/>
      <c r="B1206" s="91"/>
      <c r="C1206" s="92"/>
      <c r="D1206" s="82"/>
      <c r="E1206" s="82"/>
      <c r="F1206" s="96"/>
    </row>
    <row r="1207" spans="1:6" ht="13.5">
      <c r="A1207" s="86"/>
      <c r="B1207" s="91"/>
      <c r="C1207" s="92"/>
      <c r="D1207" s="82"/>
      <c r="E1207" s="82"/>
      <c r="F1207" s="96"/>
    </row>
    <row r="1208" spans="1:6" ht="13.5">
      <c r="A1208" s="86"/>
      <c r="B1208" s="91"/>
      <c r="C1208" s="92"/>
      <c r="D1208" s="82"/>
      <c r="E1208" s="82"/>
      <c r="F1208" s="96"/>
    </row>
    <row r="1209" spans="1:6" ht="13.5">
      <c r="A1209" s="86"/>
      <c r="B1209" s="91"/>
      <c r="C1209" s="92"/>
      <c r="D1209" s="82"/>
      <c r="E1209" s="82"/>
      <c r="F1209" s="96"/>
    </row>
    <row r="1210" spans="1:6" ht="13.5">
      <c r="A1210" s="86"/>
      <c r="B1210" s="91"/>
      <c r="C1210" s="92"/>
      <c r="D1210" s="82"/>
      <c r="E1210" s="82"/>
      <c r="F1210" s="96"/>
    </row>
    <row r="1211" spans="1:6" ht="13.5">
      <c r="A1211" s="86"/>
      <c r="B1211" s="91"/>
      <c r="C1211" s="92"/>
      <c r="D1211" s="82"/>
      <c r="E1211" s="82"/>
      <c r="F1211" s="96"/>
    </row>
    <row r="1212" spans="1:6" ht="13.5">
      <c r="A1212" s="86"/>
      <c r="B1212" s="91"/>
      <c r="C1212" s="92"/>
      <c r="D1212" s="82"/>
      <c r="E1212" s="82"/>
      <c r="F1212" s="96"/>
    </row>
    <row r="1213" spans="1:6" ht="13.5">
      <c r="A1213" s="86"/>
      <c r="B1213" s="91"/>
      <c r="C1213" s="92"/>
      <c r="D1213" s="82"/>
      <c r="E1213" s="82"/>
      <c r="F1213" s="96"/>
    </row>
    <row r="1214" spans="1:6" ht="13.5">
      <c r="A1214" s="86"/>
      <c r="B1214" s="91"/>
      <c r="C1214" s="92"/>
      <c r="D1214" s="82"/>
      <c r="E1214" s="82"/>
      <c r="F1214" s="96"/>
    </row>
    <row r="1215" spans="1:6" ht="13.5">
      <c r="A1215" s="86"/>
      <c r="B1215" s="91"/>
      <c r="C1215" s="92"/>
      <c r="D1215" s="82"/>
      <c r="E1215" s="82"/>
      <c r="F1215" s="96"/>
    </row>
    <row r="1216" spans="1:6" ht="13.5">
      <c r="A1216" s="86"/>
      <c r="B1216" s="91"/>
      <c r="C1216" s="92"/>
      <c r="D1216" s="82"/>
      <c r="E1216" s="82"/>
      <c r="F1216" s="96"/>
    </row>
    <row r="1217" spans="1:6" ht="13.5">
      <c r="A1217" s="86"/>
      <c r="B1217" s="91"/>
      <c r="C1217" s="92"/>
      <c r="D1217" s="82"/>
      <c r="E1217" s="82"/>
      <c r="F1217" s="96"/>
    </row>
    <row r="1218" spans="1:6" ht="13.5">
      <c r="A1218" s="86"/>
      <c r="B1218" s="91"/>
      <c r="C1218" s="92"/>
      <c r="D1218" s="82"/>
      <c r="E1218" s="82"/>
      <c r="F1218" s="96"/>
    </row>
    <row r="1219" spans="1:6" ht="13.5">
      <c r="A1219" s="86"/>
      <c r="B1219" s="91"/>
      <c r="C1219" s="92"/>
      <c r="D1219" s="82"/>
      <c r="E1219" s="82"/>
      <c r="F1219" s="96"/>
    </row>
    <row r="1220" spans="1:6" ht="13.5">
      <c r="A1220" s="86"/>
      <c r="B1220" s="91"/>
      <c r="C1220" s="92"/>
      <c r="D1220" s="82"/>
      <c r="E1220" s="82"/>
      <c r="F1220" s="96"/>
    </row>
    <row r="1221" spans="1:6" ht="13.5">
      <c r="A1221" s="86"/>
      <c r="B1221" s="91"/>
      <c r="C1221" s="92"/>
      <c r="D1221" s="82"/>
      <c r="E1221" s="82"/>
      <c r="F1221" s="96"/>
    </row>
    <row r="1222" spans="1:6" ht="13.5">
      <c r="A1222" s="86"/>
      <c r="B1222" s="91"/>
      <c r="C1222" s="92"/>
      <c r="D1222" s="82"/>
      <c r="E1222" s="82"/>
      <c r="F1222" s="96"/>
    </row>
    <row r="1223" spans="1:6" ht="13.5">
      <c r="A1223" s="86"/>
      <c r="B1223" s="91"/>
      <c r="C1223" s="92"/>
      <c r="D1223" s="82"/>
      <c r="E1223" s="82"/>
      <c r="F1223" s="96"/>
    </row>
    <row r="1224" spans="1:6" ht="13.5">
      <c r="A1224" s="86"/>
      <c r="B1224" s="91"/>
      <c r="C1224" s="92"/>
      <c r="D1224" s="82"/>
      <c r="E1224" s="82"/>
      <c r="F1224" s="96"/>
    </row>
    <row r="1225" spans="1:6" ht="13.5">
      <c r="A1225" s="86"/>
      <c r="B1225" s="91"/>
      <c r="C1225" s="92"/>
      <c r="D1225" s="82"/>
      <c r="E1225" s="82"/>
      <c r="F1225" s="96"/>
    </row>
    <row r="1226" spans="1:6" ht="13.5">
      <c r="A1226" s="86"/>
      <c r="B1226" s="91"/>
      <c r="C1226" s="92"/>
      <c r="D1226" s="82"/>
      <c r="E1226" s="82"/>
      <c r="F1226" s="96"/>
    </row>
    <row r="1227" spans="1:6" ht="13.5">
      <c r="A1227" s="86"/>
      <c r="B1227" s="91"/>
      <c r="C1227" s="92"/>
      <c r="D1227" s="82"/>
      <c r="E1227" s="82"/>
      <c r="F1227" s="96"/>
    </row>
    <row r="1228" spans="1:6" ht="13.5">
      <c r="A1228" s="86"/>
      <c r="B1228" s="91"/>
      <c r="C1228" s="92"/>
      <c r="D1228" s="82"/>
      <c r="E1228" s="82"/>
      <c r="F1228" s="96"/>
    </row>
    <row r="1229" spans="1:6" ht="13.5">
      <c r="A1229" s="86"/>
      <c r="B1229" s="91"/>
      <c r="C1229" s="92"/>
      <c r="D1229" s="82"/>
      <c r="E1229" s="82"/>
      <c r="F1229" s="96"/>
    </row>
    <row r="1230" spans="1:6" ht="13.5">
      <c r="A1230" s="86"/>
      <c r="B1230" s="91"/>
      <c r="C1230" s="92"/>
      <c r="D1230" s="82"/>
      <c r="E1230" s="82"/>
      <c r="F1230" s="96"/>
    </row>
    <row r="1231" spans="1:6" ht="13.5">
      <c r="A1231" s="86"/>
      <c r="B1231" s="91"/>
      <c r="C1231" s="92"/>
      <c r="D1231" s="82"/>
      <c r="E1231" s="82"/>
      <c r="F1231" s="96"/>
    </row>
    <row r="1232" spans="1:6" ht="13.5">
      <c r="A1232" s="86"/>
      <c r="B1232" s="91"/>
      <c r="C1232" s="92"/>
      <c r="D1232" s="82"/>
      <c r="E1232" s="82"/>
      <c r="F1232" s="96"/>
    </row>
    <row r="1233" spans="1:6" ht="13.5">
      <c r="A1233" s="86"/>
      <c r="B1233" s="91"/>
      <c r="C1233" s="92"/>
      <c r="D1233" s="82"/>
      <c r="E1233" s="82"/>
      <c r="F1233" s="96"/>
    </row>
    <row r="1234" spans="1:6" ht="13.5">
      <c r="A1234" s="86"/>
      <c r="B1234" s="91"/>
      <c r="C1234" s="92"/>
      <c r="D1234" s="82"/>
      <c r="E1234" s="82"/>
      <c r="F1234" s="96"/>
    </row>
    <row r="1235" spans="1:6" ht="13.5">
      <c r="A1235" s="86"/>
      <c r="B1235" s="91"/>
      <c r="C1235" s="92"/>
      <c r="D1235" s="82"/>
      <c r="E1235" s="82"/>
      <c r="F1235" s="96"/>
    </row>
    <row r="1236" spans="1:6" ht="13.5">
      <c r="A1236" s="86"/>
      <c r="B1236" s="91"/>
      <c r="C1236" s="92"/>
      <c r="D1236" s="82"/>
      <c r="E1236" s="82"/>
      <c r="F1236" s="96"/>
    </row>
    <row r="1237" spans="1:6" ht="13.5">
      <c r="A1237" s="86"/>
      <c r="B1237" s="91"/>
      <c r="C1237" s="92"/>
      <c r="D1237" s="82"/>
      <c r="E1237" s="82"/>
      <c r="F1237" s="96"/>
    </row>
    <row r="1238" spans="1:6" ht="13.5">
      <c r="A1238" s="86"/>
      <c r="B1238" s="91"/>
      <c r="C1238" s="92"/>
      <c r="D1238" s="82"/>
      <c r="E1238" s="82"/>
      <c r="F1238" s="96"/>
    </row>
    <row r="1239" spans="1:6" ht="13.5">
      <c r="A1239" s="86"/>
      <c r="B1239" s="91"/>
      <c r="C1239" s="92"/>
      <c r="D1239" s="82"/>
      <c r="E1239" s="82"/>
      <c r="F1239" s="96"/>
    </row>
    <row r="1240" spans="1:6" ht="13.5">
      <c r="A1240" s="86"/>
      <c r="B1240" s="91"/>
      <c r="C1240" s="92"/>
      <c r="D1240" s="82"/>
      <c r="E1240" s="82"/>
      <c r="F1240" s="96"/>
    </row>
    <row r="1241" spans="1:6" ht="13.5">
      <c r="A1241" s="86"/>
      <c r="B1241" s="91"/>
      <c r="C1241" s="92"/>
      <c r="D1241" s="82"/>
      <c r="E1241" s="82"/>
      <c r="F1241" s="96"/>
    </row>
    <row r="1242" spans="1:6" ht="13.5">
      <c r="A1242" s="86"/>
      <c r="B1242" s="91"/>
      <c r="C1242" s="92"/>
      <c r="D1242" s="82"/>
      <c r="E1242" s="82"/>
      <c r="F1242" s="96"/>
    </row>
    <row r="1243" spans="1:6" ht="13.5">
      <c r="A1243" s="86"/>
      <c r="B1243" s="91"/>
      <c r="C1243" s="92"/>
      <c r="D1243" s="82"/>
      <c r="E1243" s="82"/>
      <c r="F1243" s="96"/>
    </row>
    <row r="1244" spans="1:6" ht="13.5">
      <c r="A1244" s="86"/>
      <c r="B1244" s="91"/>
      <c r="C1244" s="92"/>
      <c r="D1244" s="82"/>
      <c r="E1244" s="82"/>
      <c r="F1244" s="96"/>
    </row>
    <row r="1245" spans="1:6" ht="13.5">
      <c r="A1245" s="86"/>
      <c r="B1245" s="91"/>
      <c r="C1245" s="92"/>
      <c r="D1245" s="82"/>
      <c r="E1245" s="82"/>
      <c r="F1245" s="96"/>
    </row>
    <row r="1246" spans="1:6" ht="13.5">
      <c r="A1246" s="86"/>
      <c r="B1246" s="91"/>
      <c r="C1246" s="92"/>
      <c r="D1246" s="82"/>
      <c r="E1246" s="82"/>
      <c r="F1246" s="96"/>
    </row>
    <row r="1247" spans="1:6" ht="13.5">
      <c r="A1247" s="86"/>
      <c r="B1247" s="91"/>
      <c r="C1247" s="92"/>
      <c r="D1247" s="82"/>
      <c r="E1247" s="82"/>
      <c r="F1247" s="96"/>
    </row>
    <row r="1248" spans="1:6" ht="13.5">
      <c r="A1248" s="86"/>
      <c r="B1248" s="91"/>
      <c r="C1248" s="92"/>
      <c r="D1248" s="82"/>
      <c r="E1248" s="82"/>
      <c r="F1248" s="96"/>
    </row>
    <row r="1249" spans="1:6" ht="13.5">
      <c r="A1249" s="86"/>
      <c r="B1249" s="91"/>
      <c r="C1249" s="92"/>
      <c r="D1249" s="82"/>
      <c r="E1249" s="82"/>
      <c r="F1249" s="96"/>
    </row>
    <row r="1250" spans="1:6" ht="13.5">
      <c r="A1250" s="86"/>
      <c r="B1250" s="91"/>
      <c r="C1250" s="92"/>
      <c r="D1250" s="82"/>
      <c r="E1250" s="82"/>
      <c r="F1250" s="96"/>
    </row>
    <row r="1251" spans="1:6" ht="13.5">
      <c r="A1251" s="86"/>
      <c r="B1251" s="91"/>
      <c r="C1251" s="92"/>
      <c r="D1251" s="82"/>
      <c r="E1251" s="82"/>
      <c r="F1251" s="96"/>
    </row>
    <row r="1252" spans="1:6" ht="13.5">
      <c r="A1252" s="86"/>
      <c r="B1252" s="91"/>
      <c r="C1252" s="92"/>
      <c r="D1252" s="82"/>
      <c r="E1252" s="82"/>
      <c r="F1252" s="96"/>
    </row>
    <row r="1253" spans="1:6" ht="13.5">
      <c r="A1253" s="86"/>
      <c r="B1253" s="91"/>
      <c r="C1253" s="92"/>
      <c r="D1253" s="82"/>
      <c r="E1253" s="82"/>
      <c r="F1253" s="96"/>
    </row>
    <row r="1254" spans="1:6" ht="13.5">
      <c r="A1254" s="86"/>
      <c r="B1254" s="91"/>
      <c r="C1254" s="92"/>
      <c r="D1254" s="82"/>
      <c r="E1254" s="82"/>
      <c r="F1254" s="96"/>
    </row>
    <row r="1255" spans="1:6" ht="13.5">
      <c r="A1255" s="86"/>
      <c r="B1255" s="91"/>
      <c r="C1255" s="92"/>
      <c r="D1255" s="82"/>
      <c r="E1255" s="82"/>
      <c r="F1255" s="96"/>
    </row>
    <row r="1256" spans="1:6" ht="13.5">
      <c r="A1256" s="86"/>
      <c r="B1256" s="91"/>
      <c r="C1256" s="92"/>
      <c r="D1256" s="82"/>
      <c r="E1256" s="82"/>
      <c r="F1256" s="96"/>
    </row>
    <row r="1257" spans="1:6" ht="13.5">
      <c r="A1257" s="86"/>
      <c r="B1257" s="91"/>
      <c r="C1257" s="92"/>
      <c r="D1257" s="82"/>
      <c r="E1257" s="82"/>
      <c r="F1257" s="96"/>
    </row>
    <row r="1258" spans="1:6" ht="13.5">
      <c r="A1258" s="86"/>
      <c r="B1258" s="91"/>
      <c r="C1258" s="92"/>
      <c r="D1258" s="82"/>
      <c r="E1258" s="82"/>
      <c r="F1258" s="96"/>
    </row>
    <row r="1259" spans="1:6" ht="13.5">
      <c r="A1259" s="86"/>
      <c r="B1259" s="91"/>
      <c r="C1259" s="92"/>
      <c r="D1259" s="82"/>
      <c r="E1259" s="82"/>
      <c r="F1259" s="96"/>
    </row>
    <row r="1260" spans="1:6" ht="13.5">
      <c r="A1260" s="86"/>
      <c r="B1260" s="91"/>
      <c r="C1260" s="92"/>
      <c r="D1260" s="82"/>
      <c r="E1260" s="82"/>
      <c r="F1260" s="96"/>
    </row>
    <row r="1261" spans="1:6" ht="13.5">
      <c r="A1261" s="86"/>
      <c r="B1261" s="91"/>
      <c r="C1261" s="92"/>
      <c r="D1261" s="82"/>
      <c r="E1261" s="82"/>
      <c r="F1261" s="96"/>
    </row>
    <row r="1262" spans="1:6" ht="13.5">
      <c r="A1262" s="86"/>
      <c r="B1262" s="91"/>
      <c r="C1262" s="92"/>
      <c r="D1262" s="82"/>
      <c r="E1262" s="82"/>
      <c r="F1262" s="96"/>
    </row>
    <row r="1263" spans="1:6" ht="13.5">
      <c r="A1263" s="86"/>
      <c r="B1263" s="91"/>
      <c r="C1263" s="92"/>
      <c r="D1263" s="82"/>
      <c r="E1263" s="82"/>
      <c r="F1263" s="96"/>
    </row>
    <row r="1264" spans="1:6" ht="13.5">
      <c r="A1264" s="86"/>
      <c r="B1264" s="91"/>
      <c r="C1264" s="92"/>
      <c r="D1264" s="82"/>
      <c r="E1264" s="82"/>
      <c r="F1264" s="96"/>
    </row>
    <row r="1265" spans="1:6" ht="13.5">
      <c r="A1265" s="86"/>
      <c r="B1265" s="91"/>
      <c r="C1265" s="92"/>
      <c r="D1265" s="82"/>
      <c r="E1265" s="82"/>
      <c r="F1265" s="96"/>
    </row>
    <row r="1266" spans="1:6" ht="13.5">
      <c r="A1266" s="86"/>
      <c r="B1266" s="91"/>
      <c r="C1266" s="92"/>
      <c r="D1266" s="82"/>
      <c r="E1266" s="82"/>
      <c r="F1266" s="96"/>
    </row>
    <row r="1267" spans="1:6" ht="13.5">
      <c r="A1267" s="86"/>
      <c r="B1267" s="91"/>
      <c r="C1267" s="92"/>
      <c r="D1267" s="82"/>
      <c r="E1267" s="82"/>
      <c r="F1267" s="96"/>
    </row>
    <row r="1268" spans="1:6" ht="13.5">
      <c r="A1268" s="86"/>
      <c r="B1268" s="91"/>
      <c r="C1268" s="92"/>
      <c r="D1268" s="82"/>
      <c r="E1268" s="82"/>
      <c r="F1268" s="96"/>
    </row>
    <row r="1269" spans="1:6" ht="13.5">
      <c r="A1269" s="86"/>
      <c r="B1269" s="91"/>
      <c r="C1269" s="92"/>
      <c r="D1269" s="82"/>
      <c r="E1269" s="82"/>
      <c r="F1269" s="96"/>
    </row>
    <row r="1270" spans="1:6" ht="13.5">
      <c r="A1270" s="86"/>
      <c r="B1270" s="91"/>
      <c r="C1270" s="92"/>
      <c r="D1270" s="82"/>
      <c r="E1270" s="82"/>
      <c r="F1270" s="96"/>
    </row>
    <row r="1271" spans="1:6" ht="13.5">
      <c r="A1271" s="86"/>
      <c r="B1271" s="91"/>
      <c r="C1271" s="92"/>
      <c r="D1271" s="82"/>
      <c r="E1271" s="82"/>
      <c r="F1271" s="96"/>
    </row>
    <row r="1272" spans="1:6" ht="13.5">
      <c r="A1272" s="86"/>
      <c r="B1272" s="91"/>
      <c r="C1272" s="92"/>
      <c r="D1272" s="82"/>
      <c r="E1272" s="82"/>
      <c r="F1272" s="96"/>
    </row>
    <row r="1273" spans="1:6" ht="13.5">
      <c r="A1273" s="86"/>
      <c r="B1273" s="91"/>
      <c r="C1273" s="92"/>
      <c r="D1273" s="82"/>
      <c r="E1273" s="82"/>
      <c r="F1273" s="96"/>
    </row>
    <row r="1274" spans="1:6" ht="13.5">
      <c r="A1274" s="86"/>
      <c r="B1274" s="91"/>
      <c r="C1274" s="92"/>
      <c r="D1274" s="82"/>
      <c r="E1274" s="82"/>
      <c r="F1274" s="96"/>
    </row>
    <row r="1275" spans="1:6" ht="13.5">
      <c r="A1275" s="86"/>
      <c r="B1275" s="91"/>
      <c r="C1275" s="92"/>
      <c r="D1275" s="82"/>
      <c r="E1275" s="82"/>
      <c r="F1275" s="96"/>
    </row>
    <row r="1276" spans="1:6" ht="13.5">
      <c r="A1276" s="86"/>
      <c r="B1276" s="91"/>
      <c r="C1276" s="92"/>
      <c r="D1276" s="82"/>
      <c r="E1276" s="82"/>
      <c r="F1276" s="96"/>
    </row>
    <row r="1277" spans="1:6" ht="13.5">
      <c r="A1277" s="86"/>
      <c r="B1277" s="91"/>
      <c r="C1277" s="92"/>
      <c r="D1277" s="82"/>
      <c r="E1277" s="82"/>
      <c r="F1277" s="96"/>
    </row>
    <row r="1278" spans="1:6" ht="13.5">
      <c r="A1278" s="86"/>
      <c r="B1278" s="91"/>
      <c r="C1278" s="92"/>
      <c r="D1278" s="82"/>
      <c r="E1278" s="82"/>
      <c r="F1278" s="96"/>
    </row>
    <row r="1279" spans="1:6" ht="13.5">
      <c r="A1279" s="86"/>
      <c r="B1279" s="91"/>
      <c r="C1279" s="92"/>
      <c r="D1279" s="82"/>
      <c r="E1279" s="82"/>
      <c r="F1279" s="96"/>
    </row>
    <row r="1280" spans="1:6" ht="13.5">
      <c r="A1280" s="86"/>
      <c r="B1280" s="91"/>
      <c r="C1280" s="92"/>
      <c r="D1280" s="82"/>
      <c r="E1280" s="82"/>
      <c r="F1280" s="96"/>
    </row>
    <row r="1281" spans="1:6" ht="13.5">
      <c r="A1281" s="86"/>
      <c r="B1281" s="91"/>
      <c r="C1281" s="92"/>
      <c r="D1281" s="82"/>
      <c r="E1281" s="82"/>
      <c r="F1281" s="96"/>
    </row>
    <row r="1282" spans="1:6" ht="13.5">
      <c r="A1282" s="86"/>
      <c r="B1282" s="91"/>
      <c r="C1282" s="92"/>
      <c r="D1282" s="82"/>
      <c r="E1282" s="82"/>
      <c r="F1282" s="96"/>
    </row>
    <row r="1283" spans="1:6" ht="13.5">
      <c r="A1283" s="86"/>
      <c r="B1283" s="91"/>
      <c r="C1283" s="92"/>
      <c r="D1283" s="82"/>
      <c r="E1283" s="82"/>
      <c r="F1283" s="96"/>
    </row>
    <row r="1284" spans="1:6" ht="13.5">
      <c r="A1284" s="86"/>
      <c r="B1284" s="91"/>
      <c r="C1284" s="92"/>
      <c r="D1284" s="82"/>
      <c r="E1284" s="82"/>
      <c r="F1284" s="96"/>
    </row>
    <row r="1285" spans="1:6" ht="13.5">
      <c r="A1285" s="86"/>
      <c r="B1285" s="91"/>
      <c r="C1285" s="92"/>
      <c r="D1285" s="82"/>
      <c r="E1285" s="82"/>
      <c r="F1285" s="96"/>
    </row>
    <row r="1286" spans="1:6" ht="13.5">
      <c r="A1286" s="86"/>
      <c r="B1286" s="91"/>
      <c r="C1286" s="92"/>
      <c r="D1286" s="82"/>
      <c r="E1286" s="82"/>
      <c r="F1286" s="96"/>
    </row>
    <row r="1287" spans="1:6" ht="13.5">
      <c r="A1287" s="86"/>
      <c r="B1287" s="91"/>
      <c r="C1287" s="92"/>
      <c r="D1287" s="82"/>
      <c r="E1287" s="82"/>
      <c r="F1287" s="96"/>
    </row>
    <row r="1288" spans="1:6" ht="13.5">
      <c r="A1288" s="86"/>
      <c r="B1288" s="91"/>
      <c r="C1288" s="92"/>
      <c r="D1288" s="82"/>
      <c r="E1288" s="82"/>
      <c r="F1288" s="96"/>
    </row>
    <row r="1289" spans="1:6" ht="13.5">
      <c r="A1289" s="86"/>
      <c r="B1289" s="91"/>
      <c r="C1289" s="92"/>
      <c r="D1289" s="82"/>
      <c r="E1289" s="82"/>
      <c r="F1289" s="96"/>
    </row>
    <row r="1290" spans="1:6" ht="13.5">
      <c r="A1290" s="86"/>
      <c r="B1290" s="91"/>
      <c r="C1290" s="92"/>
      <c r="D1290" s="82"/>
      <c r="E1290" s="82"/>
      <c r="F1290" s="96"/>
    </row>
    <row r="1291" spans="1:6" ht="13.5">
      <c r="A1291" s="86"/>
      <c r="B1291" s="91"/>
      <c r="C1291" s="92"/>
      <c r="D1291" s="82"/>
      <c r="E1291" s="82"/>
      <c r="F1291" s="96"/>
    </row>
    <row r="1292" spans="1:6" ht="13.5">
      <c r="A1292" s="86"/>
      <c r="B1292" s="91"/>
      <c r="C1292" s="92"/>
      <c r="D1292" s="82"/>
      <c r="E1292" s="82"/>
      <c r="F1292" s="96"/>
    </row>
    <row r="1293" spans="1:6" ht="13.5">
      <c r="A1293" s="86"/>
      <c r="B1293" s="91"/>
      <c r="C1293" s="92"/>
      <c r="D1293" s="82"/>
      <c r="E1293" s="82"/>
      <c r="F1293" s="96"/>
    </row>
    <row r="1294" spans="1:6" ht="13.5">
      <c r="A1294" s="86"/>
      <c r="B1294" s="91"/>
      <c r="C1294" s="92"/>
      <c r="D1294" s="82"/>
      <c r="E1294" s="82"/>
      <c r="F1294" s="96"/>
    </row>
    <row r="1295" spans="1:6" ht="13.5">
      <c r="A1295" s="86"/>
      <c r="B1295" s="91"/>
      <c r="C1295" s="92"/>
      <c r="D1295" s="82"/>
      <c r="E1295" s="82"/>
      <c r="F1295" s="96"/>
    </row>
    <row r="1296" spans="1:6" ht="13.5">
      <c r="A1296" s="86"/>
      <c r="B1296" s="91"/>
      <c r="C1296" s="92"/>
      <c r="D1296" s="82"/>
      <c r="E1296" s="82"/>
      <c r="F1296" s="96"/>
    </row>
    <row r="1297" spans="1:6" ht="13.5">
      <c r="A1297" s="86"/>
      <c r="B1297" s="91"/>
      <c r="C1297" s="92"/>
      <c r="D1297" s="82"/>
      <c r="E1297" s="82"/>
      <c r="F1297" s="96"/>
    </row>
    <row r="1298" spans="1:6" ht="13.5">
      <c r="A1298" s="86"/>
      <c r="B1298" s="91"/>
      <c r="C1298" s="92"/>
      <c r="D1298" s="82"/>
      <c r="E1298" s="82"/>
      <c r="F1298" s="96"/>
    </row>
    <row r="1299" spans="1:6" ht="13.5">
      <c r="A1299" s="86"/>
      <c r="B1299" s="91"/>
      <c r="C1299" s="92"/>
      <c r="D1299" s="82"/>
      <c r="E1299" s="82"/>
      <c r="F1299" s="96"/>
    </row>
    <row r="1300" spans="1:6" ht="13.5">
      <c r="A1300" s="86"/>
      <c r="B1300" s="91"/>
      <c r="C1300" s="92"/>
      <c r="D1300" s="82"/>
      <c r="E1300" s="82"/>
      <c r="F1300" s="96"/>
    </row>
    <row r="1301" spans="1:6" ht="13.5">
      <c r="A1301" s="86"/>
      <c r="B1301" s="91"/>
      <c r="C1301" s="92"/>
      <c r="D1301" s="82"/>
      <c r="E1301" s="82"/>
      <c r="F1301" s="96"/>
    </row>
    <row r="1302" spans="1:6" ht="13.5">
      <c r="A1302" s="86"/>
      <c r="B1302" s="91"/>
      <c r="C1302" s="92"/>
      <c r="D1302" s="82"/>
      <c r="E1302" s="82"/>
      <c r="F1302" s="96"/>
    </row>
    <row r="1303" spans="1:6" ht="13.5">
      <c r="A1303" s="86"/>
      <c r="B1303" s="91"/>
      <c r="C1303" s="92"/>
      <c r="D1303" s="82"/>
      <c r="E1303" s="82"/>
      <c r="F1303" s="96"/>
    </row>
    <row r="1304" spans="1:6" ht="13.5">
      <c r="A1304" s="86"/>
      <c r="B1304" s="91"/>
      <c r="C1304" s="92"/>
      <c r="D1304" s="82"/>
      <c r="E1304" s="82"/>
      <c r="F1304" s="96"/>
    </row>
    <row r="1305" spans="1:6" ht="13.5">
      <c r="A1305" s="86"/>
      <c r="B1305" s="91"/>
      <c r="C1305" s="92"/>
      <c r="D1305" s="82"/>
      <c r="E1305" s="82"/>
      <c r="F1305" s="96"/>
    </row>
    <row r="1306" spans="1:6" ht="13.5">
      <c r="A1306" s="86"/>
      <c r="B1306" s="91"/>
      <c r="C1306" s="92"/>
      <c r="D1306" s="82"/>
      <c r="E1306" s="82"/>
      <c r="F1306" s="96"/>
    </row>
    <row r="1307" spans="1:6" ht="13.5">
      <c r="A1307" s="86"/>
      <c r="B1307" s="91"/>
      <c r="C1307" s="92"/>
      <c r="D1307" s="82"/>
      <c r="E1307" s="82"/>
      <c r="F1307" s="96"/>
    </row>
    <row r="1308" spans="1:6" ht="13.5">
      <c r="A1308" s="86"/>
      <c r="B1308" s="91"/>
      <c r="C1308" s="92"/>
      <c r="D1308" s="82"/>
      <c r="E1308" s="82"/>
      <c r="F1308" s="96"/>
    </row>
    <row r="1309" spans="1:6" ht="13.5">
      <c r="A1309" s="86"/>
      <c r="B1309" s="91"/>
      <c r="C1309" s="92"/>
      <c r="D1309" s="82"/>
      <c r="E1309" s="82"/>
      <c r="F1309" s="96"/>
    </row>
    <row r="1310" spans="1:6" ht="13.5">
      <c r="A1310" s="86"/>
      <c r="B1310" s="91"/>
      <c r="C1310" s="92"/>
      <c r="D1310" s="82"/>
      <c r="E1310" s="82"/>
      <c r="F1310" s="96"/>
    </row>
    <row r="1311" spans="1:6" ht="13.5">
      <c r="A1311" s="86"/>
      <c r="B1311" s="91"/>
      <c r="C1311" s="92"/>
      <c r="D1311" s="82"/>
      <c r="E1311" s="82"/>
      <c r="F1311" s="96"/>
    </row>
    <row r="1312" spans="1:6" ht="13.5">
      <c r="A1312" s="86"/>
      <c r="B1312" s="91"/>
      <c r="C1312" s="92"/>
      <c r="D1312" s="82"/>
      <c r="E1312" s="82"/>
      <c r="F1312" s="96"/>
    </row>
    <row r="1313" spans="1:6" ht="13.5">
      <c r="A1313" s="86"/>
      <c r="B1313" s="91"/>
      <c r="C1313" s="92"/>
      <c r="D1313" s="82"/>
      <c r="E1313" s="82"/>
      <c r="F1313" s="96"/>
    </row>
    <row r="1314" spans="1:6" ht="13.5">
      <c r="A1314" s="86"/>
      <c r="B1314" s="91"/>
      <c r="C1314" s="92"/>
      <c r="D1314" s="82"/>
      <c r="E1314" s="82"/>
      <c r="F1314" s="96"/>
    </row>
    <row r="1315" spans="1:6" ht="13.5">
      <c r="A1315" s="86"/>
      <c r="B1315" s="91"/>
      <c r="C1315" s="92"/>
      <c r="D1315" s="82"/>
      <c r="E1315" s="82"/>
      <c r="F1315" s="96"/>
    </row>
    <row r="1316" spans="1:6" ht="13.5">
      <c r="A1316" s="86"/>
      <c r="B1316" s="91"/>
      <c r="C1316" s="92"/>
      <c r="D1316" s="82"/>
      <c r="E1316" s="82"/>
      <c r="F1316" s="96"/>
    </row>
    <row r="1317" spans="1:6" ht="13.5">
      <c r="A1317" s="86"/>
      <c r="B1317" s="91"/>
      <c r="C1317" s="92"/>
      <c r="D1317" s="82"/>
      <c r="E1317" s="82"/>
      <c r="F1317" s="96"/>
    </row>
    <row r="1318" spans="1:6" ht="13.5">
      <c r="A1318" s="86"/>
      <c r="B1318" s="91"/>
      <c r="C1318" s="92"/>
      <c r="D1318" s="82"/>
      <c r="E1318" s="82"/>
      <c r="F1318" s="96"/>
    </row>
    <row r="1319" spans="1:6" ht="13.5">
      <c r="A1319" s="86"/>
      <c r="B1319" s="91"/>
      <c r="C1319" s="92"/>
      <c r="D1319" s="82"/>
      <c r="E1319" s="82"/>
      <c r="F1319" s="96"/>
    </row>
    <row r="1320" spans="1:6" ht="13.5">
      <c r="A1320" s="86"/>
      <c r="B1320" s="91"/>
      <c r="C1320" s="92"/>
      <c r="D1320" s="82"/>
      <c r="E1320" s="82"/>
      <c r="F1320" s="96"/>
    </row>
    <row r="1321" spans="1:6" ht="13.5">
      <c r="A1321" s="86"/>
      <c r="B1321" s="91"/>
      <c r="C1321" s="92"/>
      <c r="D1321" s="82"/>
      <c r="E1321" s="82"/>
      <c r="F1321" s="96"/>
    </row>
    <row r="1322" spans="1:6" ht="13.5">
      <c r="A1322" s="86"/>
      <c r="B1322" s="91"/>
      <c r="C1322" s="92"/>
      <c r="D1322" s="82"/>
      <c r="E1322" s="82"/>
      <c r="F1322" s="96"/>
    </row>
    <row r="1323" spans="1:6" ht="13.5">
      <c r="A1323" s="86"/>
      <c r="B1323" s="91"/>
      <c r="C1323" s="92"/>
      <c r="D1323" s="82"/>
      <c r="E1323" s="82"/>
      <c r="F1323" s="96"/>
    </row>
    <row r="1324" spans="1:6" ht="13.5">
      <c r="A1324" s="86"/>
      <c r="B1324" s="91"/>
      <c r="C1324" s="92"/>
      <c r="D1324" s="82"/>
      <c r="E1324" s="82"/>
      <c r="F1324" s="96"/>
    </row>
    <row r="1325" spans="1:6" ht="13.5">
      <c r="A1325" s="86"/>
      <c r="B1325" s="91"/>
      <c r="C1325" s="92"/>
      <c r="D1325" s="82"/>
      <c r="E1325" s="82"/>
      <c r="F1325" s="96"/>
    </row>
    <row r="1326" spans="1:6" ht="13.5">
      <c r="A1326" s="86"/>
      <c r="B1326" s="91"/>
      <c r="C1326" s="92"/>
      <c r="D1326" s="82"/>
      <c r="E1326" s="82"/>
      <c r="F1326" s="96"/>
    </row>
    <row r="1327" spans="1:6" ht="13.5">
      <c r="A1327" s="86"/>
      <c r="B1327" s="91"/>
      <c r="C1327" s="92"/>
      <c r="D1327" s="82"/>
      <c r="E1327" s="82"/>
      <c r="F1327" s="96"/>
    </row>
    <row r="1328" spans="1:6" ht="13.5">
      <c r="A1328" s="86"/>
      <c r="B1328" s="91"/>
      <c r="C1328" s="92"/>
      <c r="D1328" s="82"/>
      <c r="E1328" s="82"/>
      <c r="F1328" s="96"/>
    </row>
    <row r="1329" spans="1:6" ht="13.5">
      <c r="A1329" s="86"/>
      <c r="B1329" s="91"/>
      <c r="C1329" s="92"/>
      <c r="D1329" s="82"/>
      <c r="E1329" s="82"/>
      <c r="F1329" s="96"/>
    </row>
    <row r="1330" spans="1:6" ht="13.5">
      <c r="A1330" s="86"/>
      <c r="B1330" s="91"/>
      <c r="C1330" s="92"/>
      <c r="D1330" s="82"/>
      <c r="E1330" s="82"/>
      <c r="F1330" s="96"/>
    </row>
    <row r="1331" spans="1:6" ht="13.5">
      <c r="A1331" s="86"/>
      <c r="B1331" s="91"/>
      <c r="C1331" s="92"/>
      <c r="D1331" s="82"/>
      <c r="E1331" s="82"/>
      <c r="F1331" s="96"/>
    </row>
    <row r="1332" spans="1:6" ht="13.5">
      <c r="A1332" s="86"/>
      <c r="B1332" s="91"/>
      <c r="C1332" s="92"/>
      <c r="D1332" s="82"/>
      <c r="E1332" s="82"/>
      <c r="F1332" s="96"/>
    </row>
    <row r="1333" spans="1:6" ht="13.5">
      <c r="A1333" s="86"/>
      <c r="B1333" s="91"/>
      <c r="C1333" s="92"/>
      <c r="D1333" s="82"/>
      <c r="E1333" s="82"/>
      <c r="F1333" s="96"/>
    </row>
    <row r="1334" spans="1:6" ht="13.5">
      <c r="A1334" s="86"/>
      <c r="B1334" s="91"/>
      <c r="C1334" s="92"/>
      <c r="D1334" s="82"/>
      <c r="E1334" s="82"/>
      <c r="F1334" s="96"/>
    </row>
    <row r="1335" spans="1:6" ht="13.5">
      <c r="A1335" s="86"/>
      <c r="B1335" s="91"/>
      <c r="C1335" s="92"/>
      <c r="D1335" s="82"/>
      <c r="E1335" s="82"/>
      <c r="F1335" s="96"/>
    </row>
    <row r="1336" spans="1:6" ht="13.5">
      <c r="A1336" s="86"/>
      <c r="B1336" s="91"/>
      <c r="C1336" s="92"/>
      <c r="D1336" s="82"/>
      <c r="E1336" s="82"/>
      <c r="F1336" s="96"/>
    </row>
    <row r="1337" spans="1:6" ht="13.5">
      <c r="A1337" s="86"/>
      <c r="B1337" s="91"/>
      <c r="C1337" s="92"/>
      <c r="D1337" s="82"/>
      <c r="E1337" s="82"/>
      <c r="F1337" s="96"/>
    </row>
    <row r="1338" spans="1:6" ht="13.5">
      <c r="A1338" s="86"/>
      <c r="B1338" s="91"/>
      <c r="C1338" s="92"/>
      <c r="D1338" s="82"/>
      <c r="E1338" s="82"/>
      <c r="F1338" s="96"/>
    </row>
    <row r="1339" spans="1:6" ht="13.5">
      <c r="A1339" s="86"/>
      <c r="B1339" s="91"/>
      <c r="C1339" s="92"/>
      <c r="D1339" s="82"/>
      <c r="E1339" s="82"/>
      <c r="F1339" s="96"/>
    </row>
    <row r="1340" spans="1:6" ht="13.5">
      <c r="A1340" s="86"/>
      <c r="B1340" s="91"/>
      <c r="C1340" s="92"/>
      <c r="D1340" s="82"/>
      <c r="E1340" s="82"/>
      <c r="F1340" s="96"/>
    </row>
    <row r="1341" spans="1:6" ht="13.5">
      <c r="A1341" s="86"/>
      <c r="B1341" s="91"/>
      <c r="C1341" s="92"/>
      <c r="D1341" s="82"/>
      <c r="E1341" s="82"/>
      <c r="F1341" s="96"/>
    </row>
    <row r="1342" spans="1:6" ht="13.5">
      <c r="A1342" s="86"/>
      <c r="B1342" s="91"/>
      <c r="C1342" s="92"/>
      <c r="D1342" s="82"/>
      <c r="E1342" s="82"/>
      <c r="F1342" s="96"/>
    </row>
    <row r="1343" spans="1:6" ht="13.5">
      <c r="A1343" s="86"/>
      <c r="B1343" s="91"/>
      <c r="C1343" s="92"/>
      <c r="D1343" s="82"/>
      <c r="E1343" s="82"/>
      <c r="F1343" s="96"/>
    </row>
    <row r="1344" spans="1:6" ht="13.5">
      <c r="A1344" s="86"/>
      <c r="B1344" s="91"/>
      <c r="C1344" s="92"/>
      <c r="D1344" s="82"/>
      <c r="E1344" s="82"/>
      <c r="F1344" s="96"/>
    </row>
    <row r="1345" spans="1:6" ht="13.5">
      <c r="A1345" s="86"/>
      <c r="B1345" s="91"/>
      <c r="C1345" s="92"/>
      <c r="D1345" s="82"/>
      <c r="E1345" s="82"/>
      <c r="F1345" s="96"/>
    </row>
    <row r="1346" spans="1:6" ht="13.5">
      <c r="A1346" s="86"/>
      <c r="B1346" s="91"/>
      <c r="C1346" s="92"/>
      <c r="D1346" s="82"/>
      <c r="E1346" s="82"/>
      <c r="F1346" s="96"/>
    </row>
    <row r="1347" spans="1:6" ht="13.5">
      <c r="A1347" s="86"/>
      <c r="B1347" s="91"/>
      <c r="C1347" s="92"/>
      <c r="D1347" s="82"/>
      <c r="E1347" s="82"/>
      <c r="F1347" s="96"/>
    </row>
    <row r="1348" spans="1:6" ht="13.5">
      <c r="A1348" s="86"/>
      <c r="B1348" s="91"/>
      <c r="C1348" s="92"/>
      <c r="D1348" s="82"/>
      <c r="E1348" s="82"/>
      <c r="F1348" s="96"/>
    </row>
    <row r="1349" spans="1:6" ht="13.5">
      <c r="A1349" s="86"/>
      <c r="B1349" s="91"/>
      <c r="C1349" s="92"/>
      <c r="D1349" s="82"/>
      <c r="E1349" s="82"/>
      <c r="F1349" s="96"/>
    </row>
    <row r="1350" spans="1:6" ht="13.5">
      <c r="A1350" s="86"/>
      <c r="B1350" s="91"/>
      <c r="C1350" s="92"/>
      <c r="D1350" s="82"/>
      <c r="E1350" s="82"/>
      <c r="F1350" s="96"/>
    </row>
    <row r="1351" spans="1:6" ht="13.5">
      <c r="A1351" s="86"/>
      <c r="B1351" s="91"/>
      <c r="C1351" s="92"/>
      <c r="D1351" s="82"/>
      <c r="E1351" s="82"/>
      <c r="F1351" s="96"/>
    </row>
    <row r="1352" spans="1:6" ht="13.5">
      <c r="A1352" s="86"/>
      <c r="B1352" s="91"/>
      <c r="C1352" s="92"/>
      <c r="D1352" s="82"/>
      <c r="E1352" s="82"/>
      <c r="F1352" s="96"/>
    </row>
    <row r="1353" spans="1:6" ht="13.5">
      <c r="A1353" s="86"/>
      <c r="B1353" s="91"/>
      <c r="C1353" s="92"/>
      <c r="D1353" s="82"/>
      <c r="E1353" s="82"/>
      <c r="F1353" s="96"/>
    </row>
    <row r="1354" spans="1:6" ht="13.5">
      <c r="A1354" s="86"/>
      <c r="B1354" s="91"/>
      <c r="C1354" s="92"/>
      <c r="D1354" s="82"/>
      <c r="E1354" s="82"/>
      <c r="F1354" s="96"/>
    </row>
    <row r="1355" spans="1:6" ht="13.5">
      <c r="A1355" s="86"/>
      <c r="B1355" s="91"/>
      <c r="C1355" s="92"/>
      <c r="D1355" s="82"/>
      <c r="E1355" s="82"/>
      <c r="F1355" s="96"/>
    </row>
    <row r="1356" spans="1:6" ht="13.5">
      <c r="A1356" s="86"/>
      <c r="B1356" s="91"/>
      <c r="C1356" s="92"/>
      <c r="D1356" s="82"/>
      <c r="E1356" s="82"/>
      <c r="F1356" s="96"/>
    </row>
    <row r="1357" spans="1:6" ht="13.5">
      <c r="A1357" s="86"/>
      <c r="B1357" s="91"/>
      <c r="C1357" s="92"/>
      <c r="D1357" s="82"/>
      <c r="E1357" s="82"/>
      <c r="F1357" s="96"/>
    </row>
    <row r="1358" spans="1:6" ht="13.5">
      <c r="A1358" s="86"/>
      <c r="B1358" s="91"/>
      <c r="C1358" s="92"/>
      <c r="D1358" s="82"/>
      <c r="E1358" s="82"/>
      <c r="F1358" s="96"/>
    </row>
    <row r="1359" spans="1:6" ht="13.5">
      <c r="A1359" s="86"/>
      <c r="B1359" s="91"/>
      <c r="C1359" s="92"/>
      <c r="D1359" s="82"/>
      <c r="E1359" s="82"/>
      <c r="F1359" s="96"/>
    </row>
    <row r="1360" spans="1:6" ht="13.5">
      <c r="A1360" s="86"/>
      <c r="B1360" s="91"/>
      <c r="C1360" s="92"/>
      <c r="D1360" s="82"/>
      <c r="E1360" s="82"/>
      <c r="F1360" s="96"/>
    </row>
    <row r="1361" spans="1:6" ht="13.5">
      <c r="A1361" s="86"/>
      <c r="B1361" s="91"/>
      <c r="C1361" s="92"/>
      <c r="D1361" s="82"/>
      <c r="E1361" s="82"/>
      <c r="F1361" s="96"/>
    </row>
    <row r="1362" spans="1:6" ht="13.5">
      <c r="A1362" s="86"/>
      <c r="B1362" s="91"/>
      <c r="C1362" s="92"/>
      <c r="D1362" s="82"/>
      <c r="E1362" s="82"/>
      <c r="F1362" s="96"/>
    </row>
    <row r="1363" spans="1:6" ht="13.5">
      <c r="A1363" s="86"/>
      <c r="B1363" s="91"/>
      <c r="C1363" s="92"/>
      <c r="D1363" s="82"/>
      <c r="E1363" s="82"/>
      <c r="F1363" s="96"/>
    </row>
    <row r="1364" spans="1:6" ht="13.5">
      <c r="A1364" s="86"/>
      <c r="B1364" s="91"/>
      <c r="C1364" s="92"/>
      <c r="D1364" s="82"/>
      <c r="E1364" s="82"/>
      <c r="F1364" s="96"/>
    </row>
    <row r="1365" spans="1:6" ht="13.5">
      <c r="A1365" s="86"/>
      <c r="B1365" s="91"/>
      <c r="C1365" s="92"/>
      <c r="D1365" s="82"/>
      <c r="E1365" s="82"/>
      <c r="F1365" s="96"/>
    </row>
    <row r="1366" spans="1:6" ht="13.5">
      <c r="A1366" s="86"/>
      <c r="B1366" s="91"/>
      <c r="C1366" s="92"/>
      <c r="D1366" s="82"/>
      <c r="E1366" s="82"/>
      <c r="F1366" s="96"/>
    </row>
    <row r="1367" spans="1:6" ht="13.5">
      <c r="A1367" s="86"/>
      <c r="B1367" s="91"/>
      <c r="C1367" s="92"/>
      <c r="D1367" s="82"/>
      <c r="E1367" s="82"/>
      <c r="F1367" s="96"/>
    </row>
    <row r="1368" spans="1:6" ht="13.5">
      <c r="A1368" s="86"/>
      <c r="B1368" s="91"/>
      <c r="C1368" s="92"/>
      <c r="D1368" s="82"/>
      <c r="E1368" s="82"/>
      <c r="F1368" s="96"/>
    </row>
    <row r="1369" spans="1:6" ht="13.5">
      <c r="A1369" s="86"/>
      <c r="B1369" s="91"/>
      <c r="C1369" s="92"/>
      <c r="D1369" s="82"/>
      <c r="E1369" s="82"/>
      <c r="F1369" s="96"/>
    </row>
    <row r="1370" spans="1:6" ht="13.5">
      <c r="A1370" s="86"/>
      <c r="B1370" s="91"/>
      <c r="C1370" s="92"/>
      <c r="D1370" s="82"/>
      <c r="E1370" s="82"/>
      <c r="F1370" s="96"/>
    </row>
    <row r="1371" spans="1:6" ht="13.5">
      <c r="A1371" s="86"/>
      <c r="B1371" s="91"/>
      <c r="C1371" s="92"/>
      <c r="D1371" s="82"/>
      <c r="E1371" s="82"/>
      <c r="F1371" s="96"/>
    </row>
    <row r="1372" spans="1:6" ht="13.5">
      <c r="A1372" s="86"/>
      <c r="B1372" s="91"/>
      <c r="C1372" s="92"/>
      <c r="D1372" s="82"/>
      <c r="E1372" s="82"/>
      <c r="F1372" s="96"/>
    </row>
    <row r="1373" spans="1:6" ht="13.5">
      <c r="A1373" s="86"/>
      <c r="B1373" s="91"/>
      <c r="C1373" s="92"/>
      <c r="D1373" s="82"/>
      <c r="E1373" s="82"/>
      <c r="F1373" s="96"/>
    </row>
    <row r="1374" spans="1:6" ht="13.5">
      <c r="A1374" s="86"/>
      <c r="B1374" s="91"/>
      <c r="C1374" s="92"/>
      <c r="D1374" s="82"/>
      <c r="E1374" s="82"/>
      <c r="F1374" s="96"/>
    </row>
    <row r="1375" spans="1:6" ht="13.5">
      <c r="A1375" s="86"/>
      <c r="B1375" s="91"/>
      <c r="C1375" s="92"/>
      <c r="D1375" s="82"/>
      <c r="E1375" s="82"/>
      <c r="F1375" s="96"/>
    </row>
    <row r="1376" spans="1:6" ht="13.5">
      <c r="A1376" s="86"/>
      <c r="B1376" s="91"/>
      <c r="C1376" s="92"/>
      <c r="D1376" s="82"/>
      <c r="E1376" s="82"/>
      <c r="F1376" s="96"/>
    </row>
    <row r="1377" spans="1:6" ht="13.5">
      <c r="A1377" s="86"/>
      <c r="B1377" s="91"/>
      <c r="C1377" s="92"/>
      <c r="D1377" s="82"/>
      <c r="E1377" s="82"/>
      <c r="F1377" s="96"/>
    </row>
    <row r="1378" spans="1:6" ht="13.5">
      <c r="A1378" s="86"/>
      <c r="B1378" s="91"/>
      <c r="C1378" s="92"/>
      <c r="D1378" s="82"/>
      <c r="E1378" s="82"/>
      <c r="F1378" s="96"/>
    </row>
    <row r="1379" spans="1:6" ht="13.5">
      <c r="A1379" s="86"/>
      <c r="B1379" s="91"/>
      <c r="C1379" s="92"/>
      <c r="D1379" s="82"/>
      <c r="E1379" s="82"/>
      <c r="F1379" s="96"/>
    </row>
    <row r="1380" spans="1:6" ht="13.5">
      <c r="A1380" s="86"/>
      <c r="B1380" s="91"/>
      <c r="C1380" s="92"/>
      <c r="D1380" s="82"/>
      <c r="E1380" s="82"/>
      <c r="F1380" s="96"/>
    </row>
    <row r="1381" spans="1:6" ht="13.5">
      <c r="A1381" s="86"/>
      <c r="B1381" s="91"/>
      <c r="C1381" s="92"/>
      <c r="D1381" s="82"/>
      <c r="E1381" s="82"/>
      <c r="F1381" s="96"/>
    </row>
    <row r="1382" spans="1:6" ht="13.5">
      <c r="A1382" s="86"/>
      <c r="B1382" s="91"/>
      <c r="C1382" s="92"/>
      <c r="D1382" s="82"/>
      <c r="E1382" s="82"/>
      <c r="F1382" s="96"/>
    </row>
    <row r="1383" spans="1:6" ht="13.5">
      <c r="A1383" s="86"/>
      <c r="B1383" s="91"/>
      <c r="C1383" s="92"/>
      <c r="D1383" s="82"/>
      <c r="E1383" s="82"/>
      <c r="F1383" s="96"/>
    </row>
    <row r="1384" spans="1:6" ht="13.5">
      <c r="A1384" s="86"/>
      <c r="B1384" s="91"/>
      <c r="C1384" s="92"/>
      <c r="D1384" s="82"/>
      <c r="E1384" s="82"/>
      <c r="F1384" s="96"/>
    </row>
    <row r="1385" spans="1:6" ht="13.5">
      <c r="A1385" s="86"/>
      <c r="B1385" s="91"/>
      <c r="C1385" s="92"/>
      <c r="D1385" s="82"/>
      <c r="E1385" s="82"/>
      <c r="F1385" s="96"/>
    </row>
    <row r="1386" spans="1:6" ht="13.5">
      <c r="A1386" s="86"/>
      <c r="B1386" s="91"/>
      <c r="C1386" s="92"/>
      <c r="D1386" s="82"/>
      <c r="E1386" s="82"/>
      <c r="F1386" s="96"/>
    </row>
    <row r="1387" spans="1:6" ht="13.5">
      <c r="A1387" s="86"/>
      <c r="B1387" s="91"/>
      <c r="C1387" s="92"/>
      <c r="D1387" s="82"/>
      <c r="E1387" s="82"/>
      <c r="F1387" s="96"/>
    </row>
    <row r="1388" spans="1:6" ht="13.5">
      <c r="A1388" s="86"/>
      <c r="B1388" s="91"/>
      <c r="C1388" s="92"/>
      <c r="D1388" s="82"/>
      <c r="E1388" s="82"/>
      <c r="F1388" s="96"/>
    </row>
    <row r="1389" spans="1:6" ht="13.5">
      <c r="A1389" s="86"/>
      <c r="B1389" s="91"/>
      <c r="C1389" s="92"/>
      <c r="D1389" s="82"/>
      <c r="E1389" s="82"/>
      <c r="F1389" s="96"/>
    </row>
    <row r="1390" spans="1:6" ht="13.5">
      <c r="A1390" s="86"/>
      <c r="B1390" s="91"/>
      <c r="C1390" s="92"/>
      <c r="D1390" s="82"/>
      <c r="E1390" s="82"/>
      <c r="F1390" s="96"/>
    </row>
    <row r="1391" spans="1:6" ht="13.5">
      <c r="A1391" s="86"/>
      <c r="B1391" s="91"/>
      <c r="C1391" s="92"/>
      <c r="D1391" s="82"/>
      <c r="E1391" s="82"/>
      <c r="F1391" s="96"/>
    </row>
    <row r="1392" spans="1:6" ht="13.5">
      <c r="A1392" s="86"/>
      <c r="B1392" s="91"/>
      <c r="C1392" s="92"/>
      <c r="D1392" s="82"/>
      <c r="E1392" s="82"/>
      <c r="F1392" s="96"/>
    </row>
    <row r="1393" spans="1:6" ht="13.5">
      <c r="A1393" s="86"/>
      <c r="B1393" s="91"/>
      <c r="C1393" s="92"/>
      <c r="D1393" s="82"/>
      <c r="E1393" s="82"/>
      <c r="F1393" s="96"/>
    </row>
    <row r="1394" spans="1:6" ht="13.5">
      <c r="A1394" s="86"/>
      <c r="B1394" s="91"/>
      <c r="C1394" s="92"/>
      <c r="D1394" s="82"/>
      <c r="E1394" s="82"/>
      <c r="F1394" s="96"/>
    </row>
    <row r="1395" spans="1:6" ht="13.5">
      <c r="A1395" s="86"/>
      <c r="B1395" s="91"/>
      <c r="C1395" s="92"/>
      <c r="D1395" s="82"/>
      <c r="E1395" s="82"/>
      <c r="F1395" s="96"/>
    </row>
    <row r="1396" spans="1:6" ht="13.5">
      <c r="A1396" s="86"/>
      <c r="B1396" s="91"/>
      <c r="C1396" s="92"/>
      <c r="D1396" s="82"/>
      <c r="E1396" s="82"/>
      <c r="F1396" s="96"/>
    </row>
    <row r="1397" spans="1:6" ht="13.5">
      <c r="A1397" s="86"/>
      <c r="B1397" s="91"/>
      <c r="C1397" s="92"/>
      <c r="D1397" s="82"/>
      <c r="E1397" s="82"/>
      <c r="F1397" s="96"/>
    </row>
    <row r="1398" spans="1:6" ht="13.5">
      <c r="A1398" s="86"/>
      <c r="B1398" s="91"/>
      <c r="C1398" s="92"/>
      <c r="D1398" s="82"/>
      <c r="E1398" s="82"/>
      <c r="F1398" s="96"/>
    </row>
    <row r="1399" spans="1:6" ht="13.5">
      <c r="A1399" s="86"/>
      <c r="B1399" s="91"/>
      <c r="C1399" s="92"/>
      <c r="D1399" s="82"/>
      <c r="E1399" s="82"/>
      <c r="F1399" s="96"/>
    </row>
    <row r="1400" spans="1:6" ht="13.5">
      <c r="A1400" s="86"/>
      <c r="B1400" s="91"/>
      <c r="C1400" s="92"/>
      <c r="D1400" s="82"/>
      <c r="E1400" s="82"/>
      <c r="F1400" s="96"/>
    </row>
    <row r="1401" spans="1:6" ht="13.5">
      <c r="A1401" s="86"/>
      <c r="B1401" s="91"/>
      <c r="C1401" s="92"/>
      <c r="D1401" s="82"/>
      <c r="E1401" s="82"/>
      <c r="F1401" s="96"/>
    </row>
    <row r="1402" spans="1:6" ht="13.5">
      <c r="A1402" s="86"/>
      <c r="B1402" s="91"/>
      <c r="C1402" s="92"/>
      <c r="D1402" s="82"/>
      <c r="E1402" s="82"/>
      <c r="F1402" s="96"/>
    </row>
    <row r="1403" spans="1:6" ht="13.5">
      <c r="A1403" s="86"/>
      <c r="B1403" s="91"/>
      <c r="C1403" s="92"/>
      <c r="D1403" s="82"/>
      <c r="E1403" s="82"/>
      <c r="F1403" s="96"/>
    </row>
    <row r="1404" spans="1:6" ht="13.5">
      <c r="A1404" s="86"/>
      <c r="B1404" s="91"/>
      <c r="C1404" s="92"/>
      <c r="D1404" s="82"/>
      <c r="E1404" s="82"/>
      <c r="F1404" s="96"/>
    </row>
    <row r="1405" spans="1:6" ht="13.5">
      <c r="A1405" s="86"/>
      <c r="B1405" s="91"/>
      <c r="C1405" s="92"/>
      <c r="D1405" s="82"/>
      <c r="E1405" s="82"/>
      <c r="F1405" s="96"/>
    </row>
    <row r="1406" spans="1:6" ht="13.5">
      <c r="A1406" s="86"/>
      <c r="B1406" s="91"/>
      <c r="C1406" s="92"/>
      <c r="D1406" s="82"/>
      <c r="E1406" s="82"/>
      <c r="F1406" s="96"/>
    </row>
    <row r="1407" spans="1:6" ht="13.5">
      <c r="A1407" s="86"/>
      <c r="B1407" s="91"/>
      <c r="C1407" s="92"/>
      <c r="D1407" s="82"/>
      <c r="E1407" s="82"/>
      <c r="F1407" s="96"/>
    </row>
    <row r="1408" spans="1:6" ht="13.5">
      <c r="A1408" s="86"/>
      <c r="B1408" s="91"/>
      <c r="C1408" s="92"/>
      <c r="D1408" s="82"/>
      <c r="E1408" s="82"/>
      <c r="F1408" s="96"/>
    </row>
    <row r="1409" spans="1:6" ht="13.5">
      <c r="A1409" s="86"/>
      <c r="B1409" s="91"/>
      <c r="C1409" s="92"/>
      <c r="D1409" s="82"/>
      <c r="E1409" s="82"/>
      <c r="F1409" s="96"/>
    </row>
    <row r="1410" spans="1:6" ht="13.5">
      <c r="A1410" s="86"/>
      <c r="B1410" s="91"/>
      <c r="C1410" s="92"/>
      <c r="D1410" s="82"/>
      <c r="E1410" s="82"/>
      <c r="F1410" s="96"/>
    </row>
    <row r="1411" spans="1:6" ht="13.5">
      <c r="A1411" s="86"/>
      <c r="B1411" s="91"/>
      <c r="C1411" s="92"/>
      <c r="D1411" s="82"/>
      <c r="E1411" s="82"/>
      <c r="F1411" s="96"/>
    </row>
    <row r="1412" spans="1:6" ht="13.5">
      <c r="A1412" s="86"/>
      <c r="B1412" s="91"/>
      <c r="C1412" s="92"/>
      <c r="D1412" s="82"/>
      <c r="E1412" s="82"/>
      <c r="F1412" s="96"/>
    </row>
    <row r="1413" spans="1:6" ht="13.5">
      <c r="A1413" s="86"/>
      <c r="B1413" s="91"/>
      <c r="C1413" s="92"/>
      <c r="D1413" s="82"/>
      <c r="E1413" s="82"/>
      <c r="F1413" s="96"/>
    </row>
    <row r="1414" spans="1:6" ht="13.5">
      <c r="A1414" s="86"/>
      <c r="B1414" s="91"/>
      <c r="C1414" s="92"/>
      <c r="D1414" s="82"/>
      <c r="E1414" s="82"/>
      <c r="F1414" s="96"/>
    </row>
    <row r="1415" spans="1:6" ht="13.5">
      <c r="A1415" s="86"/>
      <c r="B1415" s="91"/>
      <c r="C1415" s="92"/>
      <c r="D1415" s="82"/>
      <c r="E1415" s="82"/>
      <c r="F1415" s="96"/>
    </row>
    <row r="1416" spans="1:6" ht="13.5">
      <c r="A1416" s="86"/>
      <c r="B1416" s="91"/>
      <c r="C1416" s="92"/>
      <c r="D1416" s="82"/>
      <c r="E1416" s="82"/>
      <c r="F1416" s="96"/>
    </row>
    <row r="1417" spans="1:6" ht="13.5">
      <c r="A1417" s="86"/>
      <c r="B1417" s="91"/>
      <c r="C1417" s="92"/>
      <c r="D1417" s="82"/>
      <c r="E1417" s="82"/>
      <c r="F1417" s="96"/>
    </row>
    <row r="1418" spans="1:6" ht="13.5">
      <c r="A1418" s="86"/>
      <c r="B1418" s="91"/>
      <c r="C1418" s="92"/>
      <c r="D1418" s="82"/>
      <c r="E1418" s="82"/>
      <c r="F1418" s="96"/>
    </row>
    <row r="1419" spans="1:6" ht="13.5">
      <c r="A1419" s="86"/>
      <c r="B1419" s="91"/>
      <c r="C1419" s="92"/>
      <c r="D1419" s="82"/>
      <c r="E1419" s="82"/>
      <c r="F1419" s="96"/>
    </row>
    <row r="1420" spans="1:6" ht="13.5">
      <c r="A1420" s="86"/>
      <c r="B1420" s="91"/>
      <c r="C1420" s="92"/>
      <c r="D1420" s="82"/>
      <c r="E1420" s="82"/>
      <c r="F1420" s="96"/>
    </row>
    <row r="1421" spans="1:6" ht="13.5">
      <c r="A1421" s="86"/>
      <c r="B1421" s="91"/>
      <c r="C1421" s="92"/>
      <c r="D1421" s="82"/>
      <c r="E1421" s="82"/>
      <c r="F1421" s="96"/>
    </row>
    <row r="1422" spans="1:6" ht="13.5">
      <c r="A1422" s="86"/>
      <c r="B1422" s="91"/>
      <c r="C1422" s="92"/>
      <c r="D1422" s="82"/>
      <c r="E1422" s="82"/>
      <c r="F1422" s="96"/>
    </row>
    <row r="1423" spans="1:6" ht="13.5">
      <c r="A1423" s="86"/>
      <c r="B1423" s="91"/>
      <c r="C1423" s="92"/>
      <c r="D1423" s="82"/>
      <c r="E1423" s="82"/>
      <c r="F1423" s="96"/>
    </row>
    <row r="1424" spans="1:6" ht="13.5">
      <c r="A1424" s="86"/>
      <c r="B1424" s="91"/>
      <c r="C1424" s="92"/>
      <c r="D1424" s="82"/>
      <c r="E1424" s="82"/>
      <c r="F1424" s="96"/>
    </row>
    <row r="1425" spans="1:6" ht="13.5">
      <c r="A1425" s="86"/>
      <c r="B1425" s="91"/>
      <c r="C1425" s="92"/>
      <c r="D1425" s="82"/>
      <c r="E1425" s="82"/>
      <c r="F1425" s="96"/>
    </row>
    <row r="1426" spans="1:6" ht="13.5">
      <c r="A1426" s="86"/>
      <c r="B1426" s="91"/>
      <c r="C1426" s="92"/>
      <c r="D1426" s="82"/>
      <c r="E1426" s="82"/>
      <c r="F1426" s="96"/>
    </row>
    <row r="1427" spans="1:6" ht="13.5">
      <c r="A1427" s="86"/>
      <c r="B1427" s="91"/>
      <c r="C1427" s="92"/>
      <c r="D1427" s="82"/>
      <c r="E1427" s="82"/>
      <c r="F1427" s="96"/>
    </row>
    <row r="1428" spans="1:6" ht="13.5">
      <c r="A1428" s="86"/>
      <c r="B1428" s="91"/>
      <c r="C1428" s="92"/>
      <c r="D1428" s="82"/>
      <c r="E1428" s="82"/>
      <c r="F1428" s="96"/>
    </row>
    <row r="1429" spans="1:6" ht="13.5">
      <c r="A1429" s="86"/>
      <c r="B1429" s="91"/>
      <c r="C1429" s="92"/>
      <c r="D1429" s="82"/>
      <c r="E1429" s="82"/>
      <c r="F1429" s="96"/>
    </row>
    <row r="1430" spans="1:6" ht="13.5">
      <c r="A1430" s="86"/>
      <c r="B1430" s="91"/>
      <c r="C1430" s="92"/>
      <c r="D1430" s="82"/>
      <c r="E1430" s="82"/>
      <c r="F1430" s="96"/>
    </row>
    <row r="1431" spans="1:6" ht="13.5">
      <c r="A1431" s="86"/>
      <c r="B1431" s="91"/>
      <c r="C1431" s="92"/>
      <c r="D1431" s="82"/>
      <c r="E1431" s="82"/>
      <c r="F1431" s="96"/>
    </row>
    <row r="1432" spans="1:6" ht="13.5">
      <c r="A1432" s="86"/>
      <c r="B1432" s="91"/>
      <c r="C1432" s="92"/>
      <c r="D1432" s="82"/>
      <c r="E1432" s="82"/>
      <c r="F1432" s="96"/>
    </row>
    <row r="1433" spans="1:6" ht="13.5">
      <c r="A1433" s="86"/>
      <c r="B1433" s="91"/>
      <c r="C1433" s="92"/>
      <c r="D1433" s="82"/>
      <c r="E1433" s="82"/>
      <c r="F1433" s="96"/>
    </row>
    <row r="1434" spans="1:6" ht="13.5">
      <c r="A1434" s="86"/>
      <c r="B1434" s="91"/>
      <c r="C1434" s="92"/>
      <c r="D1434" s="82"/>
      <c r="E1434" s="82"/>
      <c r="F1434" s="96"/>
    </row>
    <row r="1435" spans="1:6" ht="13.5">
      <c r="A1435" s="86"/>
      <c r="B1435" s="91"/>
      <c r="C1435" s="92"/>
      <c r="D1435" s="82"/>
      <c r="E1435" s="82"/>
      <c r="F1435" s="96"/>
    </row>
    <row r="1436" spans="1:6" ht="13.5">
      <c r="A1436" s="86"/>
      <c r="B1436" s="91"/>
      <c r="C1436" s="92"/>
      <c r="D1436" s="82"/>
      <c r="E1436" s="82"/>
      <c r="F1436" s="96"/>
    </row>
    <row r="1437" spans="1:6" ht="13.5">
      <c r="A1437" s="86"/>
      <c r="B1437" s="91"/>
      <c r="C1437" s="92"/>
      <c r="D1437" s="82"/>
      <c r="E1437" s="82"/>
      <c r="F1437" s="96"/>
    </row>
    <row r="1438" spans="1:6" ht="13.5">
      <c r="A1438" s="86"/>
      <c r="B1438" s="91"/>
      <c r="C1438" s="92"/>
      <c r="D1438" s="82"/>
      <c r="E1438" s="82"/>
      <c r="F1438" s="96"/>
    </row>
    <row r="1439" spans="1:6" ht="13.5">
      <c r="A1439" s="86"/>
      <c r="B1439" s="91"/>
      <c r="C1439" s="92"/>
      <c r="D1439" s="82"/>
      <c r="E1439" s="82"/>
      <c r="F1439" s="96"/>
    </row>
    <row r="1440" spans="1:6" ht="13.5">
      <c r="A1440" s="86"/>
      <c r="B1440" s="91"/>
      <c r="C1440" s="92"/>
      <c r="D1440" s="82"/>
      <c r="E1440" s="82"/>
      <c r="F1440" s="96"/>
    </row>
    <row r="1441" spans="1:6" ht="13.5">
      <c r="A1441" s="86"/>
      <c r="B1441" s="91"/>
      <c r="C1441" s="92"/>
      <c r="D1441" s="82"/>
      <c r="E1441" s="82"/>
      <c r="F1441" s="96"/>
    </row>
    <row r="1442" spans="1:6" ht="13.5">
      <c r="A1442" s="86"/>
      <c r="B1442" s="91"/>
      <c r="C1442" s="92"/>
      <c r="D1442" s="82"/>
      <c r="E1442" s="82"/>
      <c r="F1442" s="96"/>
    </row>
    <row r="1443" spans="1:6" ht="13.5">
      <c r="A1443" s="86"/>
      <c r="B1443" s="91"/>
      <c r="C1443" s="92"/>
      <c r="D1443" s="82"/>
      <c r="E1443" s="82"/>
      <c r="F1443" s="96"/>
    </row>
    <row r="1444" spans="1:6" ht="13.5">
      <c r="A1444" s="86"/>
      <c r="B1444" s="91"/>
      <c r="C1444" s="92"/>
      <c r="D1444" s="82"/>
      <c r="E1444" s="82"/>
      <c r="F1444" s="96"/>
    </row>
    <row r="1445" spans="1:6" ht="13.5">
      <c r="A1445" s="86"/>
      <c r="B1445" s="91"/>
      <c r="C1445" s="92"/>
      <c r="D1445" s="82"/>
      <c r="E1445" s="82"/>
      <c r="F1445" s="96"/>
    </row>
    <row r="1446" spans="1:6" ht="13.5">
      <c r="A1446" s="86"/>
      <c r="B1446" s="91"/>
      <c r="C1446" s="92"/>
      <c r="D1446" s="82"/>
      <c r="E1446" s="82"/>
      <c r="F1446" s="96"/>
    </row>
    <row r="1447" spans="1:6" ht="13.5">
      <c r="A1447" s="86"/>
      <c r="B1447" s="91"/>
      <c r="C1447" s="92"/>
      <c r="D1447" s="82"/>
      <c r="E1447" s="82"/>
      <c r="F1447" s="96"/>
    </row>
    <row r="1448" spans="1:6" ht="13.5">
      <c r="A1448" s="86"/>
      <c r="B1448" s="91"/>
      <c r="C1448" s="92"/>
      <c r="D1448" s="82"/>
      <c r="E1448" s="82"/>
      <c r="F1448" s="96"/>
    </row>
    <row r="1449" spans="1:6" ht="13.5">
      <c r="A1449" s="86"/>
      <c r="B1449" s="91"/>
      <c r="C1449" s="92"/>
      <c r="D1449" s="82"/>
      <c r="E1449" s="82"/>
      <c r="F1449" s="96"/>
    </row>
    <row r="1450" spans="1:6" ht="13.5">
      <c r="A1450" s="86"/>
      <c r="B1450" s="91"/>
      <c r="C1450" s="92"/>
      <c r="D1450" s="82"/>
      <c r="E1450" s="82"/>
      <c r="F1450" s="96"/>
    </row>
    <row r="1451" spans="1:6" ht="13.5">
      <c r="A1451" s="86"/>
      <c r="B1451" s="91"/>
      <c r="C1451" s="92"/>
      <c r="D1451" s="82"/>
      <c r="E1451" s="82"/>
      <c r="F1451" s="96"/>
    </row>
    <row r="1452" spans="1:6" ht="13.5">
      <c r="A1452" s="86"/>
      <c r="B1452" s="91"/>
      <c r="C1452" s="92"/>
      <c r="D1452" s="82"/>
      <c r="E1452" s="82"/>
      <c r="F1452" s="96"/>
    </row>
    <row r="1453" spans="1:6" ht="13.5">
      <c r="A1453" s="86"/>
      <c r="B1453" s="91"/>
      <c r="C1453" s="92"/>
      <c r="D1453" s="82"/>
      <c r="E1453" s="82"/>
      <c r="F1453" s="96"/>
    </row>
    <row r="1454" spans="1:6" ht="13.5">
      <c r="A1454" s="86"/>
      <c r="B1454" s="91"/>
      <c r="C1454" s="92"/>
      <c r="D1454" s="82"/>
      <c r="E1454" s="82"/>
      <c r="F1454" s="96"/>
    </row>
    <row r="1455" spans="1:6" ht="13.5">
      <c r="A1455" s="86"/>
      <c r="B1455" s="91"/>
      <c r="C1455" s="92"/>
      <c r="D1455" s="82"/>
      <c r="E1455" s="82"/>
      <c r="F1455" s="96"/>
    </row>
    <row r="1456" spans="1:6" ht="13.5">
      <c r="A1456" s="86"/>
      <c r="B1456" s="91"/>
      <c r="C1456" s="92"/>
      <c r="D1456" s="82"/>
      <c r="E1456" s="82"/>
      <c r="F1456" s="96"/>
    </row>
    <row r="1457" spans="1:6" ht="13.5">
      <c r="A1457" s="86"/>
      <c r="B1457" s="91"/>
      <c r="C1457" s="92"/>
      <c r="D1457" s="82"/>
      <c r="E1457" s="82"/>
      <c r="F1457" s="96"/>
    </row>
    <row r="1458" spans="1:6" ht="13.5">
      <c r="A1458" s="86"/>
      <c r="B1458" s="91"/>
      <c r="C1458" s="92"/>
      <c r="D1458" s="82"/>
      <c r="E1458" s="82"/>
      <c r="F1458" s="96"/>
    </row>
    <row r="1459" spans="1:6" ht="13.5">
      <c r="A1459" s="86"/>
      <c r="B1459" s="91"/>
      <c r="C1459" s="92"/>
      <c r="D1459" s="82"/>
      <c r="E1459" s="82"/>
      <c r="F1459" s="96"/>
    </row>
    <row r="1460" spans="1:6" ht="13.5">
      <c r="A1460" s="86"/>
      <c r="B1460" s="91"/>
      <c r="C1460" s="92"/>
      <c r="D1460" s="82"/>
      <c r="E1460" s="82"/>
      <c r="F1460" s="96"/>
    </row>
    <row r="1461" spans="1:6" ht="13.5">
      <c r="A1461" s="86"/>
      <c r="B1461" s="91"/>
      <c r="C1461" s="92"/>
      <c r="D1461" s="82"/>
      <c r="E1461" s="82"/>
      <c r="F1461" s="96"/>
    </row>
    <row r="1462" spans="1:6" ht="13.5">
      <c r="A1462" s="86"/>
      <c r="B1462" s="91"/>
      <c r="C1462" s="92"/>
      <c r="D1462" s="82"/>
      <c r="E1462" s="82"/>
      <c r="F1462" s="96"/>
    </row>
    <row r="1463" spans="1:6" ht="13.5">
      <c r="A1463" s="86"/>
      <c r="B1463" s="91"/>
      <c r="C1463" s="92"/>
      <c r="D1463" s="82"/>
      <c r="E1463" s="82"/>
      <c r="F1463" s="96"/>
    </row>
    <row r="1464" spans="1:6" ht="13.5">
      <c r="A1464" s="86"/>
      <c r="B1464" s="91"/>
      <c r="C1464" s="92"/>
      <c r="D1464" s="82"/>
      <c r="E1464" s="82"/>
      <c r="F1464" s="96"/>
    </row>
    <row r="1465" spans="1:6" ht="13.5">
      <c r="A1465" s="86"/>
      <c r="B1465" s="91"/>
      <c r="C1465" s="92"/>
      <c r="D1465" s="82"/>
      <c r="E1465" s="82"/>
      <c r="F1465" s="96"/>
    </row>
    <row r="1466" spans="1:6" ht="13.5">
      <c r="A1466" s="86"/>
      <c r="B1466" s="91"/>
      <c r="C1466" s="92"/>
      <c r="D1466" s="82"/>
      <c r="E1466" s="82"/>
      <c r="F1466" s="96"/>
    </row>
    <row r="1467" spans="1:6" ht="13.5">
      <c r="A1467" s="86"/>
      <c r="B1467" s="91"/>
      <c r="C1467" s="92"/>
      <c r="D1467" s="82"/>
      <c r="E1467" s="82"/>
      <c r="F1467" s="96"/>
    </row>
    <row r="1468" spans="1:6" ht="13.5">
      <c r="A1468" s="86"/>
      <c r="B1468" s="91"/>
      <c r="C1468" s="92"/>
      <c r="D1468" s="82"/>
      <c r="E1468" s="82"/>
      <c r="F1468" s="96"/>
    </row>
    <row r="1469" spans="1:6" ht="13.5">
      <c r="A1469" s="86"/>
      <c r="B1469" s="91"/>
      <c r="C1469" s="92"/>
      <c r="D1469" s="82"/>
      <c r="E1469" s="82"/>
      <c r="F1469" s="96"/>
    </row>
    <row r="1470" spans="1:6" ht="13.5">
      <c r="A1470" s="86"/>
      <c r="B1470" s="91"/>
      <c r="C1470" s="92"/>
      <c r="D1470" s="82"/>
      <c r="E1470" s="82"/>
      <c r="F1470" s="96"/>
    </row>
    <row r="1471" spans="1:6" ht="13.5">
      <c r="A1471" s="86"/>
      <c r="B1471" s="91"/>
      <c r="C1471" s="92"/>
      <c r="D1471" s="82"/>
      <c r="E1471" s="82"/>
      <c r="F1471" s="96"/>
    </row>
    <row r="1472" spans="1:6" ht="13.5">
      <c r="A1472" s="86"/>
      <c r="B1472" s="91"/>
      <c r="C1472" s="92"/>
      <c r="D1472" s="82"/>
      <c r="E1472" s="82"/>
      <c r="F1472" s="96"/>
    </row>
    <row r="1473" spans="1:6" ht="13.5">
      <c r="A1473" s="86"/>
      <c r="B1473" s="91"/>
      <c r="C1473" s="92"/>
      <c r="D1473" s="82"/>
      <c r="E1473" s="82"/>
      <c r="F1473" s="96"/>
    </row>
    <row r="1474" spans="1:6" ht="13.5">
      <c r="A1474" s="86"/>
      <c r="B1474" s="91"/>
      <c r="C1474" s="92"/>
      <c r="D1474" s="82"/>
      <c r="E1474" s="82"/>
      <c r="F1474" s="96"/>
    </row>
    <row r="1475" spans="1:6" ht="13.5">
      <c r="A1475" s="86"/>
      <c r="B1475" s="91"/>
      <c r="C1475" s="92"/>
      <c r="D1475" s="82"/>
      <c r="E1475" s="82"/>
      <c r="F1475" s="96"/>
    </row>
    <row r="1476" spans="1:6" ht="13.5">
      <c r="A1476" s="86"/>
      <c r="B1476" s="91"/>
      <c r="C1476" s="92"/>
      <c r="D1476" s="82"/>
      <c r="E1476" s="82"/>
      <c r="F1476" s="96"/>
    </row>
    <row r="1477" spans="1:6" ht="13.5">
      <c r="A1477" s="86"/>
      <c r="B1477" s="91"/>
      <c r="C1477" s="92"/>
      <c r="D1477" s="82"/>
      <c r="E1477" s="82"/>
      <c r="F1477" s="96"/>
    </row>
    <row r="1478" spans="1:6" ht="13.5">
      <c r="A1478" s="86"/>
      <c r="B1478" s="91"/>
      <c r="C1478" s="92"/>
      <c r="D1478" s="82"/>
      <c r="E1478" s="82"/>
      <c r="F1478" s="96"/>
    </row>
    <row r="1479" spans="1:6" ht="13.5">
      <c r="A1479" s="86"/>
      <c r="B1479" s="91"/>
      <c r="C1479" s="92"/>
      <c r="D1479" s="82"/>
      <c r="E1479" s="82"/>
      <c r="F1479" s="96"/>
    </row>
    <row r="1480" spans="1:6" ht="13.5">
      <c r="A1480" s="86"/>
      <c r="B1480" s="91"/>
      <c r="C1480" s="92"/>
      <c r="D1480" s="82"/>
      <c r="E1480" s="82"/>
      <c r="F1480" s="96"/>
    </row>
    <row r="1481" spans="1:6" ht="13.5">
      <c r="A1481" s="86"/>
      <c r="B1481" s="91"/>
      <c r="C1481" s="92"/>
      <c r="D1481" s="82"/>
      <c r="E1481" s="82"/>
      <c r="F1481" s="96"/>
    </row>
    <row r="1482" spans="1:6" ht="13.5">
      <c r="A1482" s="86"/>
      <c r="B1482" s="91"/>
      <c r="C1482" s="92"/>
      <c r="D1482" s="82"/>
      <c r="E1482" s="82"/>
      <c r="F1482" s="96"/>
    </row>
    <row r="1483" spans="1:6" ht="13.5">
      <c r="A1483" s="86"/>
      <c r="B1483" s="91"/>
      <c r="C1483" s="92"/>
      <c r="D1483" s="82"/>
      <c r="E1483" s="82"/>
      <c r="F1483" s="96"/>
    </row>
    <row r="1484" spans="1:6" ht="13.5">
      <c r="A1484" s="86"/>
      <c r="B1484" s="91"/>
      <c r="C1484" s="92"/>
      <c r="D1484" s="82"/>
      <c r="E1484" s="82"/>
      <c r="F1484" s="96"/>
    </row>
    <row r="1485" spans="1:6" ht="13.5">
      <c r="A1485" s="86"/>
      <c r="B1485" s="91"/>
      <c r="C1485" s="92"/>
      <c r="D1485" s="82"/>
      <c r="E1485" s="82"/>
      <c r="F1485" s="96"/>
    </row>
    <row r="1486" spans="1:6" ht="13.5">
      <c r="A1486" s="86"/>
      <c r="B1486" s="91"/>
      <c r="C1486" s="92"/>
      <c r="D1486" s="82"/>
      <c r="E1486" s="82"/>
      <c r="F1486" s="96"/>
    </row>
    <row r="1487" spans="1:6" ht="13.5">
      <c r="A1487" s="86"/>
      <c r="B1487" s="91"/>
      <c r="C1487" s="92"/>
      <c r="D1487" s="82"/>
      <c r="E1487" s="82"/>
      <c r="F1487" s="96"/>
    </row>
    <row r="1488" spans="1:6" ht="13.5">
      <c r="A1488" s="86"/>
      <c r="B1488" s="91"/>
      <c r="C1488" s="92"/>
      <c r="D1488" s="82"/>
      <c r="E1488" s="82"/>
      <c r="F1488" s="96"/>
    </row>
    <row r="1489" spans="1:6" ht="13.5">
      <c r="A1489" s="86"/>
      <c r="B1489" s="91"/>
      <c r="C1489" s="92"/>
      <c r="D1489" s="82"/>
      <c r="E1489" s="82"/>
      <c r="F1489" s="96"/>
    </row>
    <row r="1490" spans="1:6" ht="13.5">
      <c r="A1490" s="86"/>
      <c r="B1490" s="91"/>
      <c r="C1490" s="92"/>
      <c r="D1490" s="82"/>
      <c r="E1490" s="82"/>
      <c r="F1490" s="96"/>
    </row>
    <row r="1491" spans="1:6" ht="13.5">
      <c r="A1491" s="86"/>
      <c r="B1491" s="91"/>
      <c r="C1491" s="92"/>
      <c r="D1491" s="82"/>
      <c r="E1491" s="82"/>
      <c r="F1491" s="96"/>
    </row>
    <row r="1492" spans="1:6" ht="13.5">
      <c r="A1492" s="86"/>
      <c r="B1492" s="91"/>
      <c r="C1492" s="92"/>
      <c r="D1492" s="82"/>
      <c r="E1492" s="82"/>
      <c r="F1492" s="96"/>
    </row>
    <row r="1493" spans="1:6" ht="13.5">
      <c r="A1493" s="86"/>
      <c r="B1493" s="91"/>
      <c r="C1493" s="92"/>
      <c r="D1493" s="82"/>
      <c r="E1493" s="82"/>
      <c r="F1493" s="96"/>
    </row>
    <row r="1494" spans="1:6" ht="13.5">
      <c r="A1494" s="86"/>
      <c r="B1494" s="91"/>
      <c r="C1494" s="92"/>
      <c r="D1494" s="82"/>
      <c r="E1494" s="82"/>
      <c r="F1494" s="96"/>
    </row>
    <row r="1495" spans="1:6" ht="13.5">
      <c r="A1495" s="86"/>
      <c r="B1495" s="91"/>
      <c r="C1495" s="92"/>
      <c r="D1495" s="82"/>
      <c r="E1495" s="82"/>
      <c r="F1495" s="96"/>
    </row>
    <row r="1496" spans="1:6" ht="13.5">
      <c r="A1496" s="86"/>
      <c r="B1496" s="91"/>
      <c r="C1496" s="92"/>
      <c r="D1496" s="82"/>
      <c r="E1496" s="82"/>
      <c r="F1496" s="96"/>
    </row>
    <row r="1497" spans="1:6" ht="13.5">
      <c r="A1497" s="86"/>
      <c r="B1497" s="91"/>
      <c r="C1497" s="92"/>
      <c r="D1497" s="82"/>
      <c r="E1497" s="82"/>
      <c r="F1497" s="96"/>
    </row>
    <row r="1498" spans="1:6" ht="13.5">
      <c r="A1498" s="86"/>
      <c r="B1498" s="91"/>
      <c r="C1498" s="92"/>
      <c r="D1498" s="82"/>
      <c r="E1498" s="82"/>
      <c r="F1498" s="96"/>
    </row>
    <row r="1499" spans="1:6" ht="13.5">
      <c r="A1499" s="86"/>
      <c r="B1499" s="91"/>
      <c r="C1499" s="92"/>
      <c r="D1499" s="82"/>
      <c r="E1499" s="82"/>
      <c r="F1499" s="96"/>
    </row>
    <row r="1500" spans="1:6" ht="13.5">
      <c r="A1500" s="86"/>
      <c r="B1500" s="91"/>
      <c r="C1500" s="92"/>
      <c r="D1500" s="82"/>
      <c r="E1500" s="82"/>
      <c r="F1500" s="96"/>
    </row>
    <row r="1501" spans="1:6" ht="13.5">
      <c r="A1501" s="86"/>
      <c r="B1501" s="91"/>
      <c r="C1501" s="92"/>
      <c r="D1501" s="82"/>
      <c r="E1501" s="82"/>
      <c r="F1501" s="96"/>
    </row>
    <row r="1502" spans="1:6" ht="13.5">
      <c r="A1502" s="86"/>
      <c r="B1502" s="91"/>
      <c r="C1502" s="92"/>
      <c r="D1502" s="82"/>
      <c r="E1502" s="82"/>
      <c r="F1502" s="96"/>
    </row>
    <row r="1503" spans="1:6" ht="13.5">
      <c r="A1503" s="86"/>
      <c r="B1503" s="91"/>
      <c r="C1503" s="92"/>
      <c r="D1503" s="82"/>
      <c r="E1503" s="82"/>
      <c r="F1503" s="96"/>
    </row>
    <row r="1504" spans="1:6" ht="13.5">
      <c r="A1504" s="86"/>
      <c r="B1504" s="91"/>
      <c r="C1504" s="92"/>
      <c r="D1504" s="82"/>
      <c r="E1504" s="82"/>
      <c r="F1504" s="96"/>
    </row>
    <row r="1505" spans="1:6" ht="13.5">
      <c r="A1505" s="86"/>
      <c r="B1505" s="91"/>
      <c r="C1505" s="92"/>
      <c r="D1505" s="82"/>
      <c r="E1505" s="82"/>
      <c r="F1505" s="96"/>
    </row>
    <row r="1506" spans="1:6" ht="13.5">
      <c r="A1506" s="86"/>
      <c r="B1506" s="91"/>
      <c r="C1506" s="92"/>
      <c r="D1506" s="82"/>
      <c r="E1506" s="82"/>
      <c r="F1506" s="96"/>
    </row>
    <row r="1507" spans="1:6" ht="13.5">
      <c r="A1507" s="86"/>
      <c r="B1507" s="91"/>
      <c r="C1507" s="92"/>
      <c r="D1507" s="82"/>
      <c r="E1507" s="82"/>
      <c r="F1507" s="96"/>
    </row>
    <row r="1508" spans="1:6" ht="13.5">
      <c r="A1508" s="86"/>
      <c r="B1508" s="91"/>
      <c r="C1508" s="92"/>
      <c r="D1508" s="82"/>
      <c r="E1508" s="82"/>
      <c r="F1508" s="96"/>
    </row>
    <row r="1509" spans="1:6" ht="13.5">
      <c r="A1509" s="86"/>
      <c r="B1509" s="91"/>
      <c r="C1509" s="92"/>
      <c r="D1509" s="82"/>
      <c r="E1509" s="82"/>
      <c r="F1509" s="96"/>
    </row>
    <row r="1510" spans="1:6" ht="13.5">
      <c r="A1510" s="86"/>
      <c r="B1510" s="91"/>
      <c r="C1510" s="92"/>
      <c r="D1510" s="82"/>
      <c r="E1510" s="82"/>
      <c r="F1510" s="96"/>
    </row>
    <row r="1511" spans="1:6" ht="13.5">
      <c r="A1511" s="86"/>
      <c r="B1511" s="91"/>
      <c r="C1511" s="92"/>
      <c r="D1511" s="82"/>
      <c r="E1511" s="82"/>
      <c r="F1511" s="96"/>
    </row>
    <row r="1512" spans="1:6" ht="13.5">
      <c r="A1512" s="86"/>
      <c r="B1512" s="91"/>
      <c r="C1512" s="92"/>
      <c r="D1512" s="82"/>
      <c r="E1512" s="82"/>
      <c r="F1512" s="96"/>
    </row>
    <row r="1513" spans="1:6" ht="13.5">
      <c r="A1513" s="86"/>
      <c r="B1513" s="91"/>
      <c r="C1513" s="92"/>
      <c r="D1513" s="82"/>
      <c r="E1513" s="82"/>
      <c r="F1513" s="96"/>
    </row>
    <row r="1514" spans="1:6" ht="13.5">
      <c r="A1514" s="86"/>
      <c r="B1514" s="91"/>
      <c r="C1514" s="92"/>
      <c r="D1514" s="82"/>
      <c r="E1514" s="82"/>
      <c r="F1514" s="96"/>
    </row>
    <row r="1515" spans="1:6" ht="13.5">
      <c r="A1515" s="86"/>
      <c r="B1515" s="91"/>
      <c r="C1515" s="92"/>
      <c r="D1515" s="82"/>
      <c r="E1515" s="82"/>
      <c r="F1515" s="96"/>
    </row>
    <row r="1516" spans="1:6" ht="13.5">
      <c r="A1516" s="86"/>
      <c r="B1516" s="91"/>
      <c r="C1516" s="92"/>
      <c r="D1516" s="82"/>
      <c r="E1516" s="82"/>
      <c r="F1516" s="96"/>
    </row>
    <row r="1517" spans="1:6" ht="13.5">
      <c r="A1517" s="86"/>
      <c r="B1517" s="91"/>
      <c r="C1517" s="92"/>
      <c r="D1517" s="82"/>
      <c r="E1517" s="82"/>
      <c r="F1517" s="96"/>
    </row>
    <row r="1518" spans="1:6" ht="13.5">
      <c r="A1518" s="86"/>
      <c r="B1518" s="91"/>
      <c r="C1518" s="92"/>
      <c r="D1518" s="82"/>
      <c r="E1518" s="82"/>
      <c r="F1518" s="96"/>
    </row>
    <row r="1519" spans="1:6" ht="13.5">
      <c r="A1519" s="86"/>
      <c r="B1519" s="91"/>
      <c r="C1519" s="92"/>
      <c r="D1519" s="82"/>
      <c r="E1519" s="82"/>
      <c r="F1519" s="96"/>
    </row>
    <row r="1520" spans="1:6" ht="13.5">
      <c r="A1520" s="86"/>
      <c r="B1520" s="91"/>
      <c r="C1520" s="92"/>
      <c r="D1520" s="82"/>
      <c r="E1520" s="82"/>
      <c r="F1520" s="96"/>
    </row>
    <row r="1521" spans="1:6" ht="13.5">
      <c r="A1521" s="86"/>
      <c r="B1521" s="91"/>
      <c r="C1521" s="92"/>
      <c r="D1521" s="82"/>
      <c r="E1521" s="82"/>
      <c r="F1521" s="96"/>
    </row>
    <row r="1522" spans="1:6" ht="13.5">
      <c r="A1522" s="86"/>
      <c r="B1522" s="91"/>
      <c r="C1522" s="92"/>
      <c r="D1522" s="82"/>
      <c r="E1522" s="82"/>
      <c r="F1522" s="96"/>
    </row>
    <row r="1523" spans="1:6" ht="13.5">
      <c r="A1523" s="86"/>
      <c r="B1523" s="91"/>
      <c r="C1523" s="92"/>
      <c r="D1523" s="82"/>
      <c r="E1523" s="82"/>
      <c r="F1523" s="96"/>
    </row>
    <row r="1524" spans="1:6" ht="13.5">
      <c r="A1524" s="86"/>
      <c r="B1524" s="91"/>
      <c r="C1524" s="92"/>
      <c r="D1524" s="82"/>
      <c r="E1524" s="82"/>
      <c r="F1524" s="96"/>
    </row>
    <row r="1525" spans="1:6" ht="13.5">
      <c r="A1525" s="86"/>
      <c r="B1525" s="91"/>
      <c r="C1525" s="92"/>
      <c r="D1525" s="82"/>
      <c r="E1525" s="82"/>
      <c r="F1525" s="96"/>
    </row>
    <row r="1526" spans="1:6" ht="13.5">
      <c r="A1526" s="86"/>
      <c r="B1526" s="91"/>
      <c r="C1526" s="92"/>
      <c r="D1526" s="82"/>
      <c r="E1526" s="82"/>
      <c r="F1526" s="96"/>
    </row>
    <row r="1527" spans="1:6" ht="13.5">
      <c r="A1527" s="86"/>
      <c r="B1527" s="91"/>
      <c r="C1527" s="92"/>
      <c r="D1527" s="82"/>
      <c r="E1527" s="82"/>
      <c r="F1527" s="96"/>
    </row>
    <row r="1528" spans="1:6" ht="13.5">
      <c r="A1528" s="86"/>
      <c r="B1528" s="91"/>
      <c r="C1528" s="92"/>
      <c r="D1528" s="82"/>
      <c r="E1528" s="82"/>
      <c r="F1528" s="96"/>
    </row>
    <row r="1529" spans="1:6" ht="13.5">
      <c r="A1529" s="86"/>
      <c r="B1529" s="91"/>
      <c r="C1529" s="92"/>
      <c r="D1529" s="82"/>
      <c r="E1529" s="82"/>
      <c r="F1529" s="96"/>
    </row>
    <row r="1530" spans="1:6" ht="13.5">
      <c r="A1530" s="86"/>
      <c r="B1530" s="91"/>
      <c r="C1530" s="92"/>
      <c r="D1530" s="82"/>
      <c r="E1530" s="82"/>
      <c r="F1530" s="96"/>
    </row>
    <row r="1531" spans="1:6" ht="13.5">
      <c r="A1531" s="86"/>
      <c r="B1531" s="91"/>
      <c r="C1531" s="92"/>
      <c r="D1531" s="82"/>
      <c r="E1531" s="82"/>
      <c r="F1531" s="96"/>
    </row>
    <row r="1532" spans="1:6" ht="13.5">
      <c r="A1532" s="86"/>
      <c r="B1532" s="91"/>
      <c r="C1532" s="92"/>
      <c r="D1532" s="82"/>
      <c r="E1532" s="82"/>
      <c r="F1532" s="96"/>
    </row>
    <row r="1533" spans="1:6" ht="13.5">
      <c r="A1533" s="86"/>
      <c r="B1533" s="91"/>
      <c r="C1533" s="92"/>
      <c r="D1533" s="82"/>
      <c r="E1533" s="82"/>
      <c r="F1533" s="96"/>
    </row>
    <row r="1534" spans="1:6" ht="13.5">
      <c r="A1534" s="86"/>
      <c r="B1534" s="91"/>
      <c r="C1534" s="92"/>
      <c r="D1534" s="82"/>
      <c r="E1534" s="82"/>
      <c r="F1534" s="96"/>
    </row>
    <row r="1535" spans="1:6" ht="13.5">
      <c r="A1535" s="86"/>
      <c r="B1535" s="91"/>
      <c r="C1535" s="92"/>
      <c r="D1535" s="82"/>
      <c r="E1535" s="82"/>
      <c r="F1535" s="96"/>
    </row>
    <row r="1536" spans="1:6" ht="13.5">
      <c r="A1536" s="86"/>
      <c r="B1536" s="91"/>
      <c r="C1536" s="92"/>
      <c r="D1536" s="82"/>
      <c r="E1536" s="82"/>
      <c r="F1536" s="96"/>
    </row>
    <row r="1537" spans="1:6" ht="13.5">
      <c r="A1537" s="86"/>
      <c r="B1537" s="91"/>
      <c r="C1537" s="92"/>
      <c r="D1537" s="82"/>
      <c r="E1537" s="82"/>
      <c r="F1537" s="96"/>
    </row>
    <row r="1538" spans="1:6" ht="13.5">
      <c r="A1538" s="86"/>
      <c r="B1538" s="91"/>
      <c r="C1538" s="92"/>
      <c r="D1538" s="82"/>
      <c r="E1538" s="82"/>
      <c r="F1538" s="96"/>
    </row>
    <row r="1539" spans="1:6" ht="13.5">
      <c r="A1539" s="86"/>
      <c r="B1539" s="91"/>
      <c r="C1539" s="92"/>
      <c r="D1539" s="82"/>
      <c r="E1539" s="82"/>
      <c r="F1539" s="96"/>
    </row>
    <row r="1540" spans="1:6" ht="13.5">
      <c r="A1540" s="86"/>
      <c r="B1540" s="91"/>
      <c r="C1540" s="92"/>
      <c r="D1540" s="82"/>
      <c r="E1540" s="82"/>
      <c r="F1540" s="96"/>
    </row>
    <row r="1541" spans="1:6" ht="13.5">
      <c r="A1541" s="86"/>
      <c r="B1541" s="91"/>
      <c r="C1541" s="92"/>
      <c r="D1541" s="82"/>
      <c r="E1541" s="82"/>
      <c r="F1541" s="96"/>
    </row>
    <row r="1542" spans="1:6" ht="13.5">
      <c r="A1542" s="86"/>
      <c r="B1542" s="91"/>
      <c r="C1542" s="92"/>
      <c r="D1542" s="82"/>
      <c r="E1542" s="82"/>
      <c r="F1542" s="96"/>
    </row>
    <row r="1543" spans="1:6" ht="13.5">
      <c r="A1543" s="86"/>
      <c r="B1543" s="91"/>
      <c r="C1543" s="92"/>
      <c r="D1543" s="82"/>
      <c r="E1543" s="82"/>
      <c r="F1543" s="96"/>
    </row>
    <row r="1544" spans="1:6" ht="13.5">
      <c r="A1544" s="86"/>
      <c r="B1544" s="91"/>
      <c r="C1544" s="92"/>
      <c r="D1544" s="82"/>
      <c r="E1544" s="82"/>
      <c r="F1544" s="96"/>
    </row>
    <row r="1545" spans="1:6" ht="13.5">
      <c r="A1545" s="86"/>
      <c r="B1545" s="91"/>
      <c r="C1545" s="92"/>
      <c r="D1545" s="82"/>
      <c r="E1545" s="82"/>
      <c r="F1545" s="96"/>
    </row>
    <row r="1546" spans="1:6" ht="13.5">
      <c r="A1546" s="86"/>
      <c r="B1546" s="91"/>
      <c r="C1546" s="92"/>
      <c r="D1546" s="82"/>
      <c r="E1546" s="82"/>
      <c r="F1546" s="96"/>
    </row>
    <row r="1547" spans="1:6" ht="13.5">
      <c r="A1547" s="86"/>
      <c r="B1547" s="91"/>
      <c r="C1547" s="92"/>
      <c r="D1547" s="82"/>
      <c r="E1547" s="82"/>
      <c r="F1547" s="96"/>
    </row>
    <row r="1548" spans="1:6" ht="13.5">
      <c r="A1548" s="86"/>
      <c r="B1548" s="91"/>
      <c r="C1548" s="92"/>
      <c r="D1548" s="82"/>
      <c r="E1548" s="82"/>
      <c r="F1548" s="96"/>
    </row>
    <row r="1549" spans="1:6" ht="13.5">
      <c r="A1549" s="86"/>
      <c r="B1549" s="91"/>
      <c r="C1549" s="92"/>
      <c r="D1549" s="82"/>
      <c r="E1549" s="82"/>
      <c r="F1549" s="96"/>
    </row>
    <row r="1550" spans="1:6" ht="13.5">
      <c r="A1550" s="86"/>
      <c r="B1550" s="91"/>
      <c r="C1550" s="92"/>
      <c r="D1550" s="82"/>
      <c r="E1550" s="82"/>
      <c r="F1550" s="96"/>
    </row>
    <row r="1551" spans="1:6" ht="13.5">
      <c r="A1551" s="86"/>
      <c r="B1551" s="91"/>
      <c r="C1551" s="92"/>
      <c r="D1551" s="82"/>
      <c r="E1551" s="82"/>
      <c r="F1551" s="96"/>
    </row>
    <row r="1552" spans="1:6" ht="13.5">
      <c r="A1552" s="86"/>
      <c r="B1552" s="91"/>
      <c r="C1552" s="92"/>
      <c r="D1552" s="82"/>
      <c r="E1552" s="82"/>
      <c r="F1552" s="96"/>
    </row>
    <row r="1553" spans="1:6" ht="13.5">
      <c r="A1553" s="86"/>
      <c r="B1553" s="91"/>
      <c r="C1553" s="92"/>
      <c r="D1553" s="82"/>
      <c r="E1553" s="82"/>
      <c r="F1553" s="96"/>
    </row>
    <row r="1554" spans="1:6" ht="13.5">
      <c r="A1554" s="86"/>
      <c r="B1554" s="91"/>
      <c r="C1554" s="92"/>
      <c r="D1554" s="82"/>
      <c r="E1554" s="82"/>
      <c r="F1554" s="96"/>
    </row>
    <row r="1555" spans="1:6" ht="13.5">
      <c r="A1555" s="86"/>
      <c r="B1555" s="91"/>
      <c r="C1555" s="92"/>
      <c r="D1555" s="82"/>
      <c r="E1555" s="82"/>
      <c r="F1555" s="96"/>
    </row>
    <row r="1556" spans="1:6" ht="13.5">
      <c r="A1556" s="86"/>
      <c r="B1556" s="91"/>
      <c r="C1556" s="92"/>
      <c r="D1556" s="82"/>
      <c r="E1556" s="82"/>
      <c r="F1556" s="96"/>
    </row>
    <row r="1557" spans="1:6" ht="13.5">
      <c r="A1557" s="86"/>
      <c r="B1557" s="91"/>
      <c r="C1557" s="92"/>
      <c r="D1557" s="82"/>
      <c r="E1557" s="82"/>
      <c r="F1557" s="96"/>
    </row>
    <row r="1558" spans="1:6" ht="13.5">
      <c r="A1558" s="86"/>
      <c r="B1558" s="91"/>
      <c r="C1558" s="92"/>
      <c r="D1558" s="82"/>
      <c r="E1558" s="82"/>
      <c r="F1558" s="96"/>
    </row>
    <row r="1559" spans="1:6" ht="13.5">
      <c r="A1559" s="86"/>
      <c r="B1559" s="91"/>
      <c r="C1559" s="92"/>
      <c r="D1559" s="82"/>
      <c r="E1559" s="82"/>
      <c r="F1559" s="96"/>
    </row>
    <row r="1560" spans="1:6" ht="13.5">
      <c r="A1560" s="86"/>
      <c r="B1560" s="91"/>
      <c r="C1560" s="92"/>
      <c r="D1560" s="82"/>
      <c r="E1560" s="82"/>
      <c r="F1560" s="96"/>
    </row>
    <row r="1561" spans="1:6" ht="13.5">
      <c r="A1561" s="86"/>
      <c r="B1561" s="91"/>
      <c r="C1561" s="92"/>
      <c r="D1561" s="82"/>
      <c r="E1561" s="82"/>
      <c r="F1561" s="96"/>
    </row>
    <row r="1562" spans="1:6" ht="13.5">
      <c r="A1562" s="86"/>
      <c r="B1562" s="91"/>
      <c r="C1562" s="92"/>
      <c r="D1562" s="82"/>
      <c r="E1562" s="82"/>
      <c r="F1562" s="96"/>
    </row>
    <row r="1563" spans="1:6" ht="13.5">
      <c r="A1563" s="86"/>
      <c r="B1563" s="91"/>
      <c r="C1563" s="92"/>
      <c r="D1563" s="82"/>
      <c r="E1563" s="82"/>
      <c r="F1563" s="96"/>
    </row>
    <row r="1564" spans="1:6" ht="13.5">
      <c r="A1564" s="86"/>
      <c r="B1564" s="91"/>
      <c r="C1564" s="92"/>
      <c r="D1564" s="82"/>
      <c r="E1564" s="82"/>
      <c r="F1564" s="96"/>
    </row>
    <row r="1565" spans="1:6" ht="13.5">
      <c r="A1565" s="86"/>
      <c r="B1565" s="91"/>
      <c r="C1565" s="92"/>
      <c r="D1565" s="82"/>
      <c r="E1565" s="82"/>
      <c r="F1565" s="96"/>
    </row>
    <row r="1566" spans="1:6" ht="13.5">
      <c r="A1566" s="86"/>
      <c r="B1566" s="91"/>
      <c r="C1566" s="92"/>
      <c r="D1566" s="82"/>
      <c r="E1566" s="82"/>
      <c r="F1566" s="96"/>
    </row>
    <row r="1567" spans="1:6" ht="13.5">
      <c r="A1567" s="86"/>
      <c r="B1567" s="91"/>
      <c r="C1567" s="92"/>
      <c r="D1567" s="82"/>
      <c r="E1567" s="82"/>
      <c r="F1567" s="96"/>
    </row>
    <row r="1568" spans="1:6" ht="13.5">
      <c r="A1568" s="86"/>
      <c r="B1568" s="91"/>
      <c r="C1568" s="92"/>
      <c r="D1568" s="82"/>
      <c r="E1568" s="82"/>
      <c r="F1568" s="96"/>
    </row>
    <row r="1569" spans="1:6" ht="13.5">
      <c r="A1569" s="86"/>
      <c r="B1569" s="91"/>
      <c r="C1569" s="92"/>
      <c r="D1569" s="82"/>
      <c r="E1569" s="82"/>
      <c r="F1569" s="96"/>
    </row>
    <row r="1570" spans="1:6" ht="13.5">
      <c r="A1570" s="86"/>
      <c r="B1570" s="91"/>
      <c r="C1570" s="92"/>
      <c r="D1570" s="82"/>
      <c r="E1570" s="82"/>
      <c r="F1570" s="96"/>
    </row>
    <row r="1571" spans="1:6" ht="13.5">
      <c r="A1571" s="86"/>
      <c r="B1571" s="91"/>
      <c r="C1571" s="92"/>
      <c r="D1571" s="82"/>
      <c r="E1571" s="82"/>
      <c r="F1571" s="96"/>
    </row>
    <row r="1572" spans="1:6" ht="13.5">
      <c r="A1572" s="86"/>
      <c r="B1572" s="91"/>
      <c r="C1572" s="92"/>
      <c r="D1572" s="82"/>
      <c r="E1572" s="82"/>
      <c r="F1572" s="96"/>
    </row>
    <row r="1573" spans="1:6" ht="13.5">
      <c r="A1573" s="86"/>
      <c r="B1573" s="91"/>
      <c r="C1573" s="92"/>
      <c r="D1573" s="82"/>
      <c r="E1573" s="82"/>
      <c r="F1573" s="96"/>
    </row>
    <row r="1574" spans="1:6" ht="13.5">
      <c r="A1574" s="86"/>
      <c r="B1574" s="91"/>
      <c r="C1574" s="92"/>
      <c r="D1574" s="82"/>
      <c r="E1574" s="82"/>
      <c r="F1574" s="96"/>
    </row>
    <row r="1575" spans="1:6" ht="13.5">
      <c r="A1575" s="86"/>
      <c r="B1575" s="91"/>
      <c r="C1575" s="92"/>
      <c r="D1575" s="82"/>
      <c r="E1575" s="82"/>
      <c r="F1575" s="96"/>
    </row>
    <row r="1576" spans="1:6" ht="13.5">
      <c r="A1576" s="86"/>
      <c r="B1576" s="91"/>
      <c r="C1576" s="92"/>
      <c r="D1576" s="82"/>
      <c r="E1576" s="82"/>
      <c r="F1576" s="96"/>
    </row>
    <row r="1577" spans="1:6" ht="13.5">
      <c r="A1577" s="86"/>
      <c r="B1577" s="91"/>
      <c r="C1577" s="92"/>
      <c r="D1577" s="82"/>
      <c r="E1577" s="82"/>
      <c r="F1577" s="96"/>
    </row>
    <row r="1578" spans="1:6" ht="13.5">
      <c r="A1578" s="86"/>
      <c r="B1578" s="91"/>
      <c r="C1578" s="92"/>
      <c r="D1578" s="82"/>
      <c r="E1578" s="82"/>
      <c r="F1578" s="96"/>
    </row>
    <row r="1579" spans="1:6" ht="13.5">
      <c r="A1579" s="86"/>
      <c r="B1579" s="91"/>
      <c r="C1579" s="92"/>
      <c r="D1579" s="82"/>
      <c r="E1579" s="82"/>
      <c r="F1579" s="96"/>
    </row>
    <row r="1580" spans="1:6" ht="13.5">
      <c r="A1580" s="86"/>
      <c r="B1580" s="91"/>
      <c r="C1580" s="92"/>
      <c r="D1580" s="82"/>
      <c r="E1580" s="82"/>
      <c r="F1580" s="96"/>
    </row>
    <row r="1581" spans="1:6" ht="13.5">
      <c r="A1581" s="86"/>
      <c r="B1581" s="91"/>
      <c r="C1581" s="92"/>
      <c r="D1581" s="82"/>
      <c r="E1581" s="82"/>
      <c r="F1581" s="96"/>
    </row>
    <row r="1582" spans="1:6" ht="13.5">
      <c r="A1582" s="86"/>
      <c r="B1582" s="91"/>
      <c r="C1582" s="92"/>
      <c r="D1582" s="82"/>
      <c r="E1582" s="82"/>
      <c r="F1582" s="96"/>
    </row>
    <row r="1583" spans="1:6" ht="13.5">
      <c r="A1583" s="86"/>
      <c r="B1583" s="91"/>
      <c r="C1583" s="92"/>
      <c r="D1583" s="82"/>
      <c r="E1583" s="82"/>
      <c r="F1583" s="96"/>
    </row>
    <row r="1584" spans="1:6" ht="13.5">
      <c r="A1584" s="86"/>
      <c r="B1584" s="91"/>
      <c r="C1584" s="92"/>
      <c r="D1584" s="82"/>
      <c r="E1584" s="82"/>
      <c r="F1584" s="96"/>
    </row>
    <row r="1585" spans="1:6" ht="13.5">
      <c r="A1585" s="86"/>
      <c r="B1585" s="91"/>
      <c r="C1585" s="92"/>
      <c r="D1585" s="82"/>
      <c r="E1585" s="82"/>
      <c r="F1585" s="96"/>
    </row>
    <row r="1586" spans="1:6" ht="13.5">
      <c r="A1586" s="86"/>
      <c r="B1586" s="91"/>
      <c r="C1586" s="92"/>
      <c r="D1586" s="82"/>
      <c r="E1586" s="82"/>
      <c r="F1586" s="96"/>
    </row>
    <row r="1587" spans="1:6" ht="13.5">
      <c r="A1587" s="86"/>
      <c r="B1587" s="91"/>
      <c r="C1587" s="92"/>
      <c r="D1587" s="82"/>
      <c r="E1587" s="82"/>
      <c r="F1587" s="96"/>
    </row>
    <row r="1588" spans="1:6" ht="13.5">
      <c r="A1588" s="86"/>
      <c r="B1588" s="91"/>
      <c r="C1588" s="92"/>
      <c r="D1588" s="82"/>
      <c r="E1588" s="82"/>
      <c r="F1588" s="96"/>
    </row>
    <row r="1589" spans="1:6" ht="13.5">
      <c r="A1589" s="86"/>
      <c r="B1589" s="91"/>
      <c r="C1589" s="92"/>
      <c r="D1589" s="82"/>
      <c r="E1589" s="82"/>
      <c r="F1589" s="96"/>
    </row>
    <row r="1590" spans="1:6" ht="13.5">
      <c r="A1590" s="86"/>
      <c r="B1590" s="91"/>
      <c r="C1590" s="92"/>
      <c r="D1590" s="82"/>
      <c r="E1590" s="82"/>
      <c r="F1590" s="96"/>
    </row>
    <row r="1591" spans="1:6" ht="13.5">
      <c r="A1591" s="86"/>
      <c r="B1591" s="91"/>
      <c r="C1591" s="92"/>
      <c r="D1591" s="82"/>
      <c r="E1591" s="82"/>
      <c r="F1591" s="96"/>
    </row>
    <row r="1592" spans="1:6" ht="13.5">
      <c r="A1592" s="86"/>
      <c r="B1592" s="91"/>
      <c r="C1592" s="92"/>
      <c r="D1592" s="82"/>
      <c r="E1592" s="82"/>
      <c r="F1592" s="96"/>
    </row>
    <row r="1593" spans="1:6" ht="13.5">
      <c r="A1593" s="86"/>
      <c r="B1593" s="91"/>
      <c r="C1593" s="92"/>
      <c r="D1593" s="82"/>
      <c r="E1593" s="82"/>
      <c r="F1593" s="96"/>
    </row>
    <row r="1594" spans="1:6" ht="13.5">
      <c r="A1594" s="86"/>
      <c r="B1594" s="91"/>
      <c r="C1594" s="92"/>
      <c r="D1594" s="82"/>
      <c r="E1594" s="82"/>
      <c r="F1594" s="96"/>
    </row>
    <row r="1595" spans="1:6" ht="13.5">
      <c r="A1595" s="86"/>
      <c r="B1595" s="91"/>
      <c r="C1595" s="92"/>
      <c r="D1595" s="82"/>
      <c r="E1595" s="82"/>
      <c r="F1595" s="96"/>
    </row>
    <row r="1596" spans="1:6" ht="13.5">
      <c r="A1596" s="86"/>
      <c r="B1596" s="91"/>
      <c r="C1596" s="92"/>
      <c r="D1596" s="82"/>
      <c r="E1596" s="82"/>
      <c r="F1596" s="96"/>
    </row>
    <row r="1597" spans="1:6" ht="13.5">
      <c r="A1597" s="86"/>
      <c r="B1597" s="91"/>
      <c r="C1597" s="92"/>
      <c r="D1597" s="82"/>
      <c r="E1597" s="82"/>
      <c r="F1597" s="96"/>
    </row>
    <row r="1598" spans="1:6" ht="13.5">
      <c r="A1598" s="86"/>
      <c r="B1598" s="91"/>
      <c r="C1598" s="92"/>
      <c r="D1598" s="82"/>
      <c r="E1598" s="82"/>
      <c r="F1598" s="96"/>
    </row>
    <row r="1599" spans="1:6" ht="13.5">
      <c r="A1599" s="86"/>
      <c r="B1599" s="91"/>
      <c r="C1599" s="92"/>
      <c r="D1599" s="82"/>
      <c r="E1599" s="82"/>
      <c r="F1599" s="96"/>
    </row>
    <row r="1600" spans="1:6" ht="13.5">
      <c r="A1600" s="86"/>
      <c r="B1600" s="91"/>
      <c r="C1600" s="92"/>
      <c r="D1600" s="82"/>
      <c r="E1600" s="82"/>
      <c r="F1600" s="96"/>
    </row>
    <row r="1601" spans="1:6" ht="13.5">
      <c r="A1601" s="86"/>
      <c r="B1601" s="91"/>
      <c r="C1601" s="92"/>
      <c r="D1601" s="82"/>
      <c r="E1601" s="82"/>
      <c r="F1601" s="96"/>
    </row>
    <row r="1602" spans="1:6" ht="13.5">
      <c r="A1602" s="86"/>
      <c r="B1602" s="91"/>
      <c r="C1602" s="92"/>
      <c r="D1602" s="82"/>
      <c r="E1602" s="82"/>
      <c r="F1602" s="96"/>
    </row>
    <row r="1603" spans="1:6" ht="13.5">
      <c r="A1603" s="86"/>
      <c r="B1603" s="91"/>
      <c r="C1603" s="92"/>
      <c r="D1603" s="82"/>
      <c r="E1603" s="82"/>
      <c r="F1603" s="96"/>
    </row>
    <row r="1604" spans="1:6" ht="13.5">
      <c r="A1604" s="86"/>
      <c r="B1604" s="91"/>
      <c r="C1604" s="92"/>
      <c r="D1604" s="82"/>
      <c r="E1604" s="82"/>
      <c r="F1604" s="96"/>
    </row>
    <row r="1605" spans="1:6" ht="13.5">
      <c r="A1605" s="86"/>
      <c r="B1605" s="91"/>
      <c r="C1605" s="92"/>
      <c r="D1605" s="82"/>
      <c r="E1605" s="82"/>
      <c r="F1605" s="96"/>
    </row>
    <row r="1606" spans="1:6" ht="13.5">
      <c r="A1606" s="86"/>
      <c r="B1606" s="91"/>
      <c r="C1606" s="92"/>
      <c r="D1606" s="82"/>
      <c r="E1606" s="82"/>
      <c r="F1606" s="96"/>
    </row>
    <row r="1607" spans="1:6" ht="13.5">
      <c r="A1607" s="86"/>
      <c r="B1607" s="91"/>
      <c r="C1607" s="92"/>
      <c r="D1607" s="82"/>
      <c r="E1607" s="82"/>
      <c r="F1607" s="96"/>
    </row>
    <row r="1608" spans="1:6" ht="13.5">
      <c r="A1608" s="86"/>
      <c r="B1608" s="91"/>
      <c r="C1608" s="92"/>
      <c r="D1608" s="82"/>
      <c r="E1608" s="82"/>
      <c r="F1608" s="96"/>
    </row>
    <row r="1609" spans="1:6" ht="13.5">
      <c r="A1609" s="86"/>
      <c r="B1609" s="91"/>
      <c r="C1609" s="92"/>
      <c r="D1609" s="82"/>
      <c r="E1609" s="82"/>
      <c r="F1609" s="96"/>
    </row>
    <row r="1610" spans="1:6" ht="13.5">
      <c r="A1610" s="86"/>
      <c r="B1610" s="91"/>
      <c r="C1610" s="92"/>
      <c r="D1610" s="82"/>
      <c r="E1610" s="82"/>
      <c r="F1610" s="96"/>
    </row>
    <row r="1611" spans="1:6" ht="13.5">
      <c r="A1611" s="86"/>
      <c r="B1611" s="91"/>
      <c r="C1611" s="92"/>
      <c r="D1611" s="82"/>
      <c r="E1611" s="82"/>
      <c r="F1611" s="96"/>
    </row>
    <row r="1612" spans="1:6" ht="13.5">
      <c r="A1612" s="86"/>
      <c r="B1612" s="91"/>
      <c r="C1612" s="92"/>
      <c r="D1612" s="82"/>
      <c r="E1612" s="82"/>
      <c r="F1612" s="96"/>
    </row>
    <row r="1613" spans="1:6" ht="13.5">
      <c r="A1613" s="86"/>
      <c r="B1613" s="91"/>
      <c r="C1613" s="92"/>
      <c r="D1613" s="82"/>
      <c r="E1613" s="82"/>
      <c r="F1613" s="96"/>
    </row>
    <row r="1614" spans="1:6" ht="13.5">
      <c r="A1614" s="86"/>
      <c r="B1614" s="91"/>
      <c r="C1614" s="92"/>
      <c r="D1614" s="82"/>
      <c r="E1614" s="82"/>
      <c r="F1614" s="96"/>
    </row>
    <row r="1615" spans="1:6" ht="13.5">
      <c r="A1615" s="86"/>
      <c r="B1615" s="91"/>
      <c r="C1615" s="92"/>
      <c r="D1615" s="82"/>
      <c r="E1615" s="82"/>
      <c r="F1615" s="96"/>
    </row>
    <row r="1616" spans="1:6" ht="13.5">
      <c r="A1616" s="86"/>
      <c r="B1616" s="91"/>
      <c r="C1616" s="92"/>
      <c r="D1616" s="82"/>
      <c r="E1616" s="82"/>
      <c r="F1616" s="96"/>
    </row>
    <row r="1617" spans="1:6" ht="13.5">
      <c r="A1617" s="86"/>
      <c r="B1617" s="91"/>
      <c r="C1617" s="92"/>
      <c r="D1617" s="82"/>
      <c r="E1617" s="82"/>
      <c r="F1617" s="96"/>
    </row>
    <row r="1618" spans="1:6" ht="13.5">
      <c r="A1618" s="86"/>
      <c r="B1618" s="91"/>
      <c r="C1618" s="92"/>
      <c r="D1618" s="82"/>
      <c r="E1618" s="82"/>
      <c r="F1618" s="96"/>
    </row>
    <row r="1619" spans="1:6" ht="13.5">
      <c r="A1619" s="86"/>
      <c r="B1619" s="91"/>
      <c r="C1619" s="92"/>
      <c r="D1619" s="82"/>
      <c r="E1619" s="82"/>
      <c r="F1619" s="96"/>
    </row>
    <row r="1620" spans="1:6" ht="13.5">
      <c r="A1620" s="86"/>
      <c r="B1620" s="91"/>
      <c r="C1620" s="92"/>
      <c r="D1620" s="82"/>
      <c r="E1620" s="82"/>
      <c r="F1620" s="96"/>
    </row>
    <row r="1621" spans="1:6" ht="13.5">
      <c r="A1621" s="86"/>
      <c r="B1621" s="91"/>
      <c r="C1621" s="92"/>
      <c r="D1621" s="82"/>
      <c r="E1621" s="82"/>
      <c r="F1621" s="96"/>
    </row>
    <row r="1622" spans="1:6" ht="13.5">
      <c r="A1622" s="86"/>
      <c r="B1622" s="91"/>
      <c r="C1622" s="92"/>
      <c r="D1622" s="82"/>
      <c r="E1622" s="82"/>
      <c r="F1622" s="96"/>
    </row>
    <row r="1623" spans="1:6" ht="13.5">
      <c r="A1623" s="86"/>
      <c r="B1623" s="91"/>
      <c r="C1623" s="92"/>
      <c r="D1623" s="82"/>
      <c r="E1623" s="82"/>
      <c r="F1623" s="96"/>
    </row>
    <row r="1624" spans="1:6" ht="13.5">
      <c r="A1624" s="86"/>
      <c r="B1624" s="91"/>
      <c r="C1624" s="92"/>
      <c r="D1624" s="82"/>
      <c r="E1624" s="82"/>
      <c r="F1624" s="96"/>
    </row>
    <row r="1625" spans="1:6" ht="13.5">
      <c r="A1625" s="86"/>
      <c r="B1625" s="91"/>
      <c r="C1625" s="92"/>
      <c r="D1625" s="82"/>
      <c r="E1625" s="82"/>
      <c r="F1625" s="96"/>
    </row>
    <row r="1626" spans="1:6" ht="13.5">
      <c r="A1626" s="86"/>
      <c r="B1626" s="91"/>
      <c r="C1626" s="92"/>
      <c r="D1626" s="82"/>
      <c r="E1626" s="82"/>
      <c r="F1626" s="96"/>
    </row>
    <row r="1627" spans="1:6" ht="13.5">
      <c r="A1627" s="86"/>
      <c r="B1627" s="91"/>
      <c r="C1627" s="92"/>
      <c r="D1627" s="82"/>
      <c r="E1627" s="82"/>
      <c r="F1627" s="96"/>
    </row>
    <row r="1628" spans="1:6" ht="13.5">
      <c r="A1628" s="86"/>
      <c r="B1628" s="91"/>
      <c r="C1628" s="92"/>
      <c r="D1628" s="82"/>
      <c r="E1628" s="82"/>
      <c r="F1628" s="96"/>
    </row>
    <row r="1629" spans="1:6" ht="13.5">
      <c r="A1629" s="86"/>
      <c r="B1629" s="91"/>
      <c r="C1629" s="92"/>
      <c r="D1629" s="82"/>
      <c r="E1629" s="82"/>
      <c r="F1629" s="96"/>
    </row>
    <row r="1630" spans="1:6" ht="13.5">
      <c r="A1630" s="86"/>
      <c r="B1630" s="91"/>
      <c r="C1630" s="92"/>
      <c r="D1630" s="82"/>
      <c r="E1630" s="82"/>
      <c r="F1630" s="96"/>
    </row>
    <row r="1631" spans="1:6" ht="13.5">
      <c r="A1631" s="86"/>
      <c r="B1631" s="91"/>
      <c r="C1631" s="92"/>
      <c r="D1631" s="82"/>
      <c r="E1631" s="82"/>
      <c r="F1631" s="96"/>
    </row>
    <row r="1632" spans="1:6" ht="13.5">
      <c r="A1632" s="86"/>
      <c r="B1632" s="91"/>
      <c r="C1632" s="92"/>
      <c r="D1632" s="82"/>
      <c r="E1632" s="82"/>
      <c r="F1632" s="96"/>
    </row>
    <row r="1633" spans="1:6" ht="13.5">
      <c r="A1633" s="86"/>
      <c r="B1633" s="91"/>
      <c r="C1633" s="92"/>
      <c r="D1633" s="82"/>
      <c r="E1633" s="82"/>
      <c r="F1633" s="96"/>
    </row>
    <row r="1634" spans="1:6" ht="13.5">
      <c r="A1634" s="86"/>
      <c r="B1634" s="91"/>
      <c r="C1634" s="92"/>
      <c r="D1634" s="82"/>
      <c r="E1634" s="82"/>
      <c r="F1634" s="96"/>
    </row>
    <row r="1635" spans="1:6" ht="13.5">
      <c r="A1635" s="86"/>
      <c r="B1635" s="91"/>
      <c r="C1635" s="92"/>
      <c r="D1635" s="82"/>
      <c r="E1635" s="82"/>
      <c r="F1635" s="96"/>
    </row>
    <row r="1636" spans="1:6" ht="13.5">
      <c r="A1636" s="86"/>
      <c r="B1636" s="91"/>
      <c r="C1636" s="92"/>
      <c r="D1636" s="82"/>
      <c r="E1636" s="82"/>
      <c r="F1636" s="96"/>
    </row>
    <row r="1637" spans="1:6" ht="13.5">
      <c r="A1637" s="86"/>
      <c r="B1637" s="91"/>
      <c r="C1637" s="92"/>
      <c r="D1637" s="82"/>
      <c r="E1637" s="82"/>
      <c r="F1637" s="96"/>
    </row>
    <row r="1638" spans="1:6" ht="13.5">
      <c r="A1638" s="86"/>
      <c r="B1638" s="91"/>
      <c r="C1638" s="92"/>
      <c r="D1638" s="82"/>
      <c r="E1638" s="82"/>
      <c r="F1638" s="96"/>
    </row>
    <row r="1639" spans="1:6" ht="13.5">
      <c r="A1639" s="86"/>
      <c r="B1639" s="91"/>
      <c r="C1639" s="92"/>
      <c r="D1639" s="82"/>
      <c r="E1639" s="82"/>
      <c r="F1639" s="96"/>
    </row>
    <row r="1640" spans="1:6" ht="13.5">
      <c r="A1640" s="86"/>
      <c r="B1640" s="91"/>
      <c r="C1640" s="92"/>
      <c r="D1640" s="82"/>
      <c r="E1640" s="82"/>
      <c r="F1640" s="96"/>
    </row>
    <row r="1641" spans="1:6" ht="13.5">
      <c r="A1641" s="86"/>
      <c r="B1641" s="91"/>
      <c r="C1641" s="92"/>
      <c r="D1641" s="82"/>
      <c r="E1641" s="82"/>
      <c r="F1641" s="96"/>
    </row>
    <row r="1642" spans="1:6" ht="13.5">
      <c r="A1642" s="86"/>
      <c r="B1642" s="91"/>
      <c r="C1642" s="92"/>
      <c r="D1642" s="82"/>
      <c r="E1642" s="82"/>
      <c r="F1642" s="96"/>
    </row>
    <row r="1643" spans="1:6" ht="13.5">
      <c r="A1643" s="86"/>
      <c r="B1643" s="91"/>
      <c r="C1643" s="92"/>
      <c r="D1643" s="82"/>
      <c r="E1643" s="82"/>
      <c r="F1643" s="96"/>
    </row>
    <row r="1644" spans="1:6" ht="13.5">
      <c r="A1644" s="86"/>
      <c r="B1644" s="91"/>
      <c r="C1644" s="92"/>
      <c r="D1644" s="82"/>
      <c r="E1644" s="82"/>
      <c r="F1644" s="96"/>
    </row>
    <row r="1645" spans="1:6" ht="13.5">
      <c r="A1645" s="86"/>
      <c r="B1645" s="91"/>
      <c r="C1645" s="92"/>
      <c r="D1645" s="82"/>
      <c r="E1645" s="82"/>
      <c r="F1645" s="96"/>
    </row>
    <row r="1646" spans="1:6" ht="13.5">
      <c r="A1646" s="86"/>
      <c r="B1646" s="91"/>
      <c r="C1646" s="92"/>
      <c r="D1646" s="82"/>
      <c r="E1646" s="82"/>
      <c r="F1646" s="96"/>
    </row>
    <row r="1647" spans="1:6" ht="13.5">
      <c r="A1647" s="86"/>
      <c r="B1647" s="91"/>
      <c r="C1647" s="92"/>
      <c r="D1647" s="82"/>
      <c r="E1647" s="82"/>
      <c r="F1647" s="96"/>
    </row>
    <row r="1648" spans="1:6" ht="13.5">
      <c r="A1648" s="86"/>
      <c r="B1648" s="91"/>
      <c r="C1648" s="92"/>
      <c r="D1648" s="82"/>
      <c r="E1648" s="82"/>
      <c r="F1648" s="96"/>
    </row>
    <row r="1649" spans="1:6" ht="13.5">
      <c r="A1649" s="86"/>
      <c r="B1649" s="91"/>
      <c r="C1649" s="92"/>
      <c r="D1649" s="82"/>
      <c r="E1649" s="82"/>
      <c r="F1649" s="96"/>
    </row>
    <row r="1650" spans="1:6" ht="13.5">
      <c r="A1650" s="86"/>
      <c r="B1650" s="91"/>
      <c r="C1650" s="92"/>
      <c r="D1650" s="82"/>
      <c r="E1650" s="82"/>
      <c r="F1650" s="96"/>
    </row>
    <row r="1651" spans="1:6" ht="13.5">
      <c r="A1651" s="86"/>
      <c r="B1651" s="91"/>
      <c r="C1651" s="92"/>
      <c r="D1651" s="82"/>
      <c r="E1651" s="82"/>
      <c r="F1651" s="96"/>
    </row>
    <row r="1652" spans="1:6" ht="13.5">
      <c r="A1652" s="86"/>
      <c r="B1652" s="91"/>
      <c r="C1652" s="92"/>
      <c r="D1652" s="82"/>
      <c r="E1652" s="82"/>
      <c r="F1652" s="96"/>
    </row>
    <row r="1653" spans="1:6" ht="13.5">
      <c r="A1653" s="86"/>
      <c r="B1653" s="91"/>
      <c r="C1653" s="92"/>
      <c r="D1653" s="82"/>
      <c r="E1653" s="82"/>
      <c r="F1653" s="96"/>
    </row>
    <row r="1654" spans="1:6" ht="13.5">
      <c r="A1654" s="86"/>
      <c r="B1654" s="91"/>
      <c r="C1654" s="92"/>
      <c r="D1654" s="82"/>
      <c r="E1654" s="82"/>
      <c r="F1654" s="96"/>
    </row>
    <row r="1655" spans="1:6" ht="13.5">
      <c r="A1655" s="86"/>
      <c r="B1655" s="91"/>
      <c r="C1655" s="92"/>
      <c r="D1655" s="82"/>
      <c r="E1655" s="82"/>
      <c r="F1655" s="96"/>
    </row>
    <row r="1656" spans="1:6" ht="13.5">
      <c r="A1656" s="86"/>
      <c r="B1656" s="91"/>
      <c r="C1656" s="92"/>
      <c r="D1656" s="82"/>
      <c r="E1656" s="82"/>
      <c r="F1656" s="96"/>
    </row>
    <row r="1657" spans="1:6" ht="13.5">
      <c r="A1657" s="86"/>
      <c r="B1657" s="91"/>
      <c r="C1657" s="92"/>
      <c r="D1657" s="82"/>
      <c r="E1657" s="82"/>
      <c r="F1657" s="96"/>
    </row>
    <row r="1658" spans="1:6" ht="13.5">
      <c r="A1658" s="86"/>
      <c r="B1658" s="91"/>
      <c r="C1658" s="92"/>
      <c r="D1658" s="82"/>
      <c r="E1658" s="82"/>
      <c r="F1658" s="96"/>
    </row>
    <row r="1659" spans="1:6" ht="13.5">
      <c r="A1659" s="86"/>
      <c r="B1659" s="91"/>
      <c r="C1659" s="92"/>
      <c r="D1659" s="82"/>
      <c r="E1659" s="82"/>
      <c r="F1659" s="96"/>
    </row>
    <row r="1660" spans="1:6" ht="13.5">
      <c r="A1660" s="86"/>
      <c r="B1660" s="91"/>
      <c r="C1660" s="92"/>
      <c r="D1660" s="82"/>
      <c r="E1660" s="82"/>
      <c r="F1660" s="96"/>
    </row>
    <row r="1661" spans="1:6" ht="13.5">
      <c r="A1661" s="86"/>
      <c r="B1661" s="91"/>
      <c r="C1661" s="92"/>
      <c r="D1661" s="82"/>
      <c r="E1661" s="82"/>
      <c r="F1661" s="96"/>
    </row>
    <row r="1662" spans="1:6" ht="13.5">
      <c r="A1662" s="86"/>
      <c r="B1662" s="91"/>
      <c r="C1662" s="92"/>
      <c r="D1662" s="82"/>
      <c r="E1662" s="82"/>
      <c r="F1662" s="96"/>
    </row>
    <row r="1663" spans="1:6" ht="13.5">
      <c r="A1663" s="86"/>
      <c r="B1663" s="91"/>
      <c r="C1663" s="92"/>
      <c r="D1663" s="82"/>
      <c r="E1663" s="82"/>
      <c r="F1663" s="96"/>
    </row>
    <row r="1664" spans="1:6" ht="13.5">
      <c r="A1664" s="86"/>
      <c r="B1664" s="91"/>
      <c r="C1664" s="92"/>
      <c r="D1664" s="82"/>
      <c r="E1664" s="82"/>
      <c r="F1664" s="96"/>
    </row>
    <row r="1665" spans="1:6" ht="13.5">
      <c r="A1665" s="86"/>
      <c r="B1665" s="91"/>
      <c r="C1665" s="92"/>
      <c r="D1665" s="82"/>
      <c r="E1665" s="82"/>
      <c r="F1665" s="96"/>
    </row>
    <row r="1666" spans="1:6" ht="13.5">
      <c r="A1666" s="86"/>
      <c r="B1666" s="91"/>
      <c r="C1666" s="92"/>
      <c r="D1666" s="82"/>
      <c r="E1666" s="82"/>
      <c r="F1666" s="96"/>
    </row>
    <row r="1667" spans="1:6" ht="13.5">
      <c r="A1667" s="86"/>
      <c r="B1667" s="91"/>
      <c r="C1667" s="92"/>
      <c r="D1667" s="82"/>
      <c r="E1667" s="82"/>
      <c r="F1667" s="96"/>
    </row>
    <row r="1668" spans="1:6" ht="13.5">
      <c r="A1668" s="86"/>
      <c r="B1668" s="91"/>
      <c r="C1668" s="92"/>
      <c r="D1668" s="82"/>
      <c r="E1668" s="82"/>
      <c r="F1668" s="96"/>
    </row>
    <row r="1669" spans="1:6" ht="13.5">
      <c r="A1669" s="86"/>
      <c r="B1669" s="91"/>
      <c r="C1669" s="92"/>
      <c r="D1669" s="82"/>
      <c r="E1669" s="82"/>
      <c r="F1669" s="96"/>
    </row>
    <row r="1670" spans="1:6" ht="13.5">
      <c r="A1670" s="86"/>
      <c r="B1670" s="91"/>
      <c r="C1670" s="92"/>
      <c r="D1670" s="82"/>
      <c r="E1670" s="82"/>
      <c r="F1670" s="96"/>
    </row>
    <row r="1671" spans="1:6" ht="13.5">
      <c r="A1671" s="86"/>
      <c r="B1671" s="91"/>
      <c r="C1671" s="92"/>
      <c r="D1671" s="82"/>
      <c r="E1671" s="82"/>
      <c r="F1671" s="96"/>
    </row>
    <row r="1672" spans="1:6" ht="13.5">
      <c r="A1672" s="86"/>
      <c r="B1672" s="91"/>
      <c r="C1672" s="92"/>
      <c r="D1672" s="82"/>
      <c r="E1672" s="82"/>
      <c r="F1672" s="96"/>
    </row>
    <row r="1673" spans="1:6" ht="13.5">
      <c r="A1673" s="86"/>
      <c r="B1673" s="91"/>
      <c r="C1673" s="92"/>
      <c r="D1673" s="82"/>
      <c r="E1673" s="82"/>
      <c r="F1673" s="96"/>
    </row>
    <row r="1674" spans="1:6" ht="13.5">
      <c r="A1674" s="86"/>
      <c r="B1674" s="91"/>
      <c r="C1674" s="92"/>
      <c r="D1674" s="82"/>
      <c r="E1674" s="82"/>
      <c r="F1674" s="96"/>
    </row>
    <row r="1675" spans="1:6" ht="13.5">
      <c r="A1675" s="86"/>
      <c r="B1675" s="91"/>
      <c r="C1675" s="92"/>
      <c r="D1675" s="82"/>
      <c r="E1675" s="82"/>
      <c r="F1675" s="96"/>
    </row>
    <row r="1676" spans="1:6" ht="13.5">
      <c r="A1676" s="86"/>
      <c r="B1676" s="91"/>
      <c r="C1676" s="92"/>
      <c r="D1676" s="82"/>
      <c r="E1676" s="82"/>
      <c r="F1676" s="96"/>
    </row>
    <row r="1677" spans="1:6" ht="13.5">
      <c r="A1677" s="86"/>
      <c r="B1677" s="91"/>
      <c r="C1677" s="92"/>
      <c r="D1677" s="82"/>
      <c r="E1677" s="82"/>
      <c r="F1677" s="96"/>
    </row>
    <row r="1678" spans="1:6" ht="13.5">
      <c r="A1678" s="86"/>
      <c r="B1678" s="91"/>
      <c r="C1678" s="92"/>
      <c r="D1678" s="82"/>
      <c r="E1678" s="82"/>
      <c r="F1678" s="96"/>
    </row>
    <row r="1679" spans="1:6" ht="13.5">
      <c r="A1679" s="86"/>
      <c r="B1679" s="91"/>
      <c r="C1679" s="92"/>
      <c r="D1679" s="82"/>
      <c r="E1679" s="82"/>
      <c r="F1679" s="96"/>
    </row>
    <row r="1680" spans="1:6" ht="13.5">
      <c r="A1680" s="86"/>
      <c r="B1680" s="91"/>
      <c r="C1680" s="92"/>
      <c r="D1680" s="82"/>
      <c r="E1680" s="82"/>
      <c r="F1680" s="96"/>
    </row>
    <row r="1681" spans="1:6" ht="13.5">
      <c r="A1681" s="86"/>
      <c r="B1681" s="91"/>
      <c r="C1681" s="92"/>
      <c r="D1681" s="82"/>
      <c r="E1681" s="82"/>
      <c r="F1681" s="96"/>
    </row>
    <row r="1682" spans="1:6" ht="13.5">
      <c r="A1682" s="86"/>
      <c r="B1682" s="91"/>
      <c r="C1682" s="92"/>
      <c r="D1682" s="82"/>
      <c r="E1682" s="82"/>
      <c r="F1682" s="96"/>
    </row>
    <row r="1683" spans="1:6" ht="13.5">
      <c r="A1683" s="86"/>
      <c r="B1683" s="91"/>
      <c r="C1683" s="92"/>
      <c r="D1683" s="82"/>
      <c r="E1683" s="82"/>
      <c r="F1683" s="96"/>
    </row>
    <row r="1684" spans="1:6" ht="13.5">
      <c r="A1684" s="86"/>
      <c r="B1684" s="91"/>
      <c r="C1684" s="92"/>
      <c r="D1684" s="82"/>
      <c r="E1684" s="82"/>
      <c r="F1684" s="96"/>
    </row>
    <row r="1685" spans="1:6" ht="13.5">
      <c r="A1685" s="86"/>
      <c r="B1685" s="91"/>
      <c r="C1685" s="92"/>
      <c r="D1685" s="82"/>
      <c r="E1685" s="82"/>
      <c r="F1685" s="96"/>
    </row>
    <row r="1686" spans="1:6" ht="13.5">
      <c r="A1686" s="86"/>
      <c r="B1686" s="91"/>
      <c r="C1686" s="92"/>
      <c r="D1686" s="82"/>
      <c r="E1686" s="82"/>
      <c r="F1686" s="96"/>
    </row>
    <row r="1687" spans="1:6" ht="13.5">
      <c r="A1687" s="86"/>
      <c r="B1687" s="91"/>
      <c r="C1687" s="92"/>
      <c r="D1687" s="82"/>
      <c r="E1687" s="82"/>
      <c r="F1687" s="96"/>
    </row>
    <row r="1688" spans="1:6" ht="13.5">
      <c r="A1688" s="86"/>
      <c r="B1688" s="91"/>
      <c r="C1688" s="92"/>
      <c r="D1688" s="82"/>
      <c r="E1688" s="82"/>
      <c r="F1688" s="96"/>
    </row>
    <row r="1689" spans="1:6" ht="13.5">
      <c r="A1689" s="86"/>
      <c r="B1689" s="91"/>
      <c r="C1689" s="92"/>
      <c r="D1689" s="82"/>
      <c r="E1689" s="82"/>
      <c r="F1689" s="96"/>
    </row>
    <row r="1690" spans="1:6" ht="13.5">
      <c r="A1690" s="86"/>
      <c r="B1690" s="91"/>
      <c r="C1690" s="92"/>
      <c r="D1690" s="82"/>
      <c r="E1690" s="82"/>
      <c r="F1690" s="96"/>
    </row>
    <row r="1691" spans="1:6" ht="13.5">
      <c r="A1691" s="86"/>
      <c r="B1691" s="91"/>
      <c r="C1691" s="92"/>
      <c r="D1691" s="82"/>
      <c r="E1691" s="82"/>
      <c r="F1691" s="96"/>
    </row>
    <row r="1692" spans="1:6" ht="13.5">
      <c r="A1692" s="86"/>
      <c r="B1692" s="91"/>
      <c r="C1692" s="92"/>
      <c r="D1692" s="82"/>
      <c r="E1692" s="82"/>
      <c r="F1692" s="96"/>
    </row>
    <row r="1693" spans="1:6" ht="13.5">
      <c r="A1693" s="86"/>
      <c r="B1693" s="91"/>
      <c r="C1693" s="92"/>
      <c r="D1693" s="82"/>
      <c r="E1693" s="82"/>
      <c r="F1693" s="96"/>
    </row>
    <row r="1694" spans="1:6" ht="13.5">
      <c r="A1694" s="86"/>
      <c r="B1694" s="91"/>
      <c r="C1694" s="92"/>
      <c r="D1694" s="82"/>
      <c r="E1694" s="82"/>
      <c r="F1694" s="96"/>
    </row>
    <row r="1695" spans="1:6" ht="13.5">
      <c r="A1695" s="86"/>
      <c r="B1695" s="91"/>
      <c r="C1695" s="92"/>
      <c r="D1695" s="82"/>
      <c r="E1695" s="82"/>
      <c r="F1695" s="96"/>
    </row>
    <row r="1696" spans="1:6" ht="13.5">
      <c r="A1696" s="86"/>
      <c r="B1696" s="91"/>
      <c r="C1696" s="92"/>
      <c r="D1696" s="82"/>
      <c r="E1696" s="82"/>
      <c r="F1696" s="96"/>
    </row>
    <row r="1697" spans="1:6" ht="13.5">
      <c r="A1697" s="86"/>
      <c r="B1697" s="91"/>
      <c r="C1697" s="92"/>
      <c r="D1697" s="82"/>
      <c r="E1697" s="82"/>
      <c r="F1697" s="96"/>
    </row>
    <row r="1698" spans="1:6" ht="13.5">
      <c r="A1698" s="86"/>
      <c r="B1698" s="91"/>
      <c r="C1698" s="92"/>
      <c r="D1698" s="82"/>
      <c r="E1698" s="82"/>
      <c r="F1698" s="96"/>
    </row>
    <row r="1699" spans="1:6" ht="13.5">
      <c r="A1699" s="86"/>
      <c r="B1699" s="91"/>
      <c r="C1699" s="92"/>
      <c r="D1699" s="82"/>
      <c r="E1699" s="82"/>
      <c r="F1699" s="96"/>
    </row>
    <row r="1700" spans="1:6" ht="13.5">
      <c r="A1700" s="86"/>
      <c r="B1700" s="91"/>
      <c r="C1700" s="92"/>
      <c r="D1700" s="82"/>
      <c r="E1700" s="82"/>
      <c r="F1700" s="96"/>
    </row>
    <row r="1701" spans="1:6" ht="13.5">
      <c r="A1701" s="86"/>
      <c r="B1701" s="91"/>
      <c r="C1701" s="92"/>
      <c r="D1701" s="82"/>
      <c r="E1701" s="82"/>
      <c r="F1701" s="96"/>
    </row>
    <row r="1702" spans="1:6" ht="13.5">
      <c r="A1702" s="86"/>
      <c r="B1702" s="91"/>
      <c r="C1702" s="92"/>
      <c r="D1702" s="82"/>
      <c r="E1702" s="82"/>
      <c r="F1702" s="96"/>
    </row>
    <row r="1703" spans="1:6" ht="13.5">
      <c r="A1703" s="86"/>
      <c r="B1703" s="91"/>
      <c r="C1703" s="92"/>
      <c r="D1703" s="82"/>
      <c r="E1703" s="82"/>
      <c r="F1703" s="96"/>
    </row>
    <row r="1704" spans="1:6" ht="13.5">
      <c r="A1704" s="86"/>
      <c r="B1704" s="91"/>
      <c r="C1704" s="92"/>
      <c r="D1704" s="82"/>
      <c r="E1704" s="82"/>
      <c r="F1704" s="96"/>
    </row>
    <row r="1705" spans="1:6" ht="13.5">
      <c r="A1705" s="86"/>
      <c r="B1705" s="91"/>
      <c r="C1705" s="92"/>
      <c r="D1705" s="82"/>
      <c r="E1705" s="82"/>
      <c r="F1705" s="96"/>
    </row>
    <row r="1706" spans="1:6" ht="13.5">
      <c r="A1706" s="86"/>
      <c r="B1706" s="91"/>
      <c r="C1706" s="92"/>
      <c r="D1706" s="82"/>
      <c r="E1706" s="82"/>
      <c r="F1706" s="96"/>
    </row>
    <row r="1707" spans="1:6" ht="13.5">
      <c r="A1707" s="86"/>
      <c r="B1707" s="91"/>
      <c r="C1707" s="92"/>
      <c r="D1707" s="82"/>
      <c r="E1707" s="82"/>
      <c r="F1707" s="96"/>
    </row>
    <row r="1708" spans="1:6" ht="13.5">
      <c r="A1708" s="86"/>
      <c r="B1708" s="91"/>
      <c r="C1708" s="92"/>
      <c r="D1708" s="82"/>
      <c r="E1708" s="82"/>
      <c r="F1708" s="96"/>
    </row>
    <row r="1709" spans="1:6" ht="13.5">
      <c r="A1709" s="86"/>
      <c r="B1709" s="91"/>
      <c r="C1709" s="92"/>
      <c r="D1709" s="82"/>
      <c r="E1709" s="82"/>
      <c r="F1709" s="96"/>
    </row>
    <row r="1710" spans="1:6" ht="13.5">
      <c r="A1710" s="86"/>
      <c r="B1710" s="91"/>
      <c r="C1710" s="92"/>
      <c r="D1710" s="82"/>
      <c r="E1710" s="82"/>
      <c r="F1710" s="96"/>
    </row>
    <row r="1711" spans="1:6" ht="13.5">
      <c r="A1711" s="86"/>
      <c r="B1711" s="91"/>
      <c r="C1711" s="92"/>
      <c r="D1711" s="82"/>
      <c r="E1711" s="82"/>
      <c r="F1711" s="96"/>
    </row>
    <row r="1712" spans="1:6" ht="13.5">
      <c r="A1712" s="86"/>
      <c r="B1712" s="91"/>
      <c r="C1712" s="92"/>
      <c r="D1712" s="82"/>
      <c r="E1712" s="82"/>
      <c r="F1712" s="96"/>
    </row>
    <row r="1713" spans="1:6" ht="13.5">
      <c r="A1713" s="86"/>
      <c r="B1713" s="91"/>
      <c r="C1713" s="92"/>
      <c r="D1713" s="82"/>
      <c r="E1713" s="82"/>
      <c r="F1713" s="96"/>
    </row>
    <row r="1714" spans="1:6" ht="13.5">
      <c r="A1714" s="86"/>
      <c r="B1714" s="91"/>
      <c r="C1714" s="92"/>
      <c r="D1714" s="82"/>
      <c r="E1714" s="82"/>
      <c r="F1714" s="96"/>
    </row>
    <row r="1715" spans="1:6" ht="13.5">
      <c r="A1715" s="86"/>
      <c r="B1715" s="91"/>
      <c r="C1715" s="92"/>
      <c r="D1715" s="82"/>
      <c r="E1715" s="82"/>
      <c r="F1715" s="96"/>
    </row>
    <row r="1716" spans="1:6" ht="13.5">
      <c r="A1716" s="86"/>
      <c r="B1716" s="91"/>
      <c r="C1716" s="92"/>
      <c r="D1716" s="82"/>
      <c r="E1716" s="82"/>
      <c r="F1716" s="96"/>
    </row>
    <row r="1717" spans="1:6" ht="13.5">
      <c r="A1717" s="86"/>
      <c r="B1717" s="91"/>
      <c r="C1717" s="92"/>
      <c r="D1717" s="82"/>
      <c r="E1717" s="82"/>
      <c r="F1717" s="96"/>
    </row>
    <row r="1718" spans="1:6" ht="13.5">
      <c r="A1718" s="86"/>
      <c r="B1718" s="91"/>
      <c r="C1718" s="92"/>
      <c r="D1718" s="82"/>
      <c r="E1718" s="82"/>
      <c r="F1718" s="96"/>
    </row>
    <row r="1719" spans="1:6" ht="13.5">
      <c r="A1719" s="86"/>
      <c r="B1719" s="91"/>
      <c r="C1719" s="92"/>
      <c r="D1719" s="82"/>
      <c r="E1719" s="82"/>
      <c r="F1719" s="96"/>
    </row>
    <row r="1720" spans="1:6" ht="13.5">
      <c r="A1720" s="86"/>
      <c r="B1720" s="91"/>
      <c r="C1720" s="92"/>
      <c r="D1720" s="82"/>
      <c r="E1720" s="82"/>
      <c r="F1720" s="96"/>
    </row>
    <row r="1721" spans="1:6" ht="13.5">
      <c r="A1721" s="86"/>
      <c r="B1721" s="91"/>
      <c r="C1721" s="92"/>
      <c r="D1721" s="82"/>
      <c r="E1721" s="82"/>
      <c r="F1721" s="96"/>
    </row>
    <row r="1722" spans="1:6" ht="13.5">
      <c r="A1722" s="86"/>
      <c r="B1722" s="91"/>
      <c r="C1722" s="92"/>
      <c r="D1722" s="82"/>
      <c r="E1722" s="82"/>
      <c r="F1722" s="96"/>
    </row>
    <row r="1723" spans="1:6" ht="13.5">
      <c r="A1723" s="86"/>
      <c r="B1723" s="91"/>
      <c r="C1723" s="92"/>
      <c r="D1723" s="82"/>
      <c r="E1723" s="82"/>
      <c r="F1723" s="96"/>
    </row>
    <row r="1724" spans="1:6" ht="13.5">
      <c r="A1724" s="86"/>
      <c r="B1724" s="91"/>
      <c r="C1724" s="92"/>
      <c r="D1724" s="82"/>
      <c r="E1724" s="82"/>
      <c r="F1724" s="96"/>
    </row>
    <row r="1725" spans="1:6" ht="13.5">
      <c r="A1725" s="86"/>
      <c r="B1725" s="91"/>
      <c r="C1725" s="92"/>
      <c r="D1725" s="82"/>
      <c r="E1725" s="82"/>
      <c r="F1725" s="96"/>
    </row>
    <row r="1726" spans="1:6" ht="13.5">
      <c r="A1726" s="86"/>
      <c r="B1726" s="91"/>
      <c r="C1726" s="92"/>
      <c r="D1726" s="82"/>
      <c r="E1726" s="82"/>
      <c r="F1726" s="96"/>
    </row>
    <row r="1727" spans="1:6" ht="13.5">
      <c r="A1727" s="86"/>
      <c r="B1727" s="91"/>
      <c r="C1727" s="92"/>
      <c r="D1727" s="82"/>
      <c r="E1727" s="82"/>
      <c r="F1727" s="96"/>
    </row>
    <row r="1728" spans="1:6" ht="13.5">
      <c r="A1728" s="86"/>
      <c r="B1728" s="91"/>
      <c r="C1728" s="92"/>
      <c r="D1728" s="82"/>
      <c r="E1728" s="82"/>
      <c r="F1728" s="96"/>
    </row>
    <row r="1729" spans="1:6" ht="13.5">
      <c r="A1729" s="86"/>
      <c r="B1729" s="91"/>
      <c r="C1729" s="92"/>
      <c r="D1729" s="82"/>
      <c r="E1729" s="82"/>
      <c r="F1729" s="96"/>
    </row>
    <row r="1730" spans="1:6" ht="13.5">
      <c r="A1730" s="86"/>
      <c r="B1730" s="91"/>
      <c r="C1730" s="92"/>
      <c r="D1730" s="82"/>
      <c r="E1730" s="82"/>
      <c r="F1730" s="96"/>
    </row>
    <row r="1731" spans="1:6" ht="13.5">
      <c r="A1731" s="86"/>
      <c r="B1731" s="91"/>
      <c r="C1731" s="92"/>
      <c r="D1731" s="82"/>
      <c r="E1731" s="82"/>
      <c r="F1731" s="96"/>
    </row>
    <row r="1732" spans="1:6" ht="13.5">
      <c r="A1732" s="86"/>
      <c r="B1732" s="91"/>
      <c r="C1732" s="92"/>
      <c r="D1732" s="82"/>
      <c r="E1732" s="82"/>
      <c r="F1732" s="96"/>
    </row>
    <row r="1733" spans="1:6" ht="13.5">
      <c r="A1733" s="86"/>
      <c r="B1733" s="91"/>
      <c r="C1733" s="92"/>
      <c r="D1733" s="82"/>
      <c r="E1733" s="82"/>
      <c r="F1733" s="96"/>
    </row>
    <row r="1734" spans="1:6" ht="13.5">
      <c r="A1734" s="86"/>
      <c r="B1734" s="91"/>
      <c r="C1734" s="92"/>
      <c r="D1734" s="82"/>
      <c r="E1734" s="82"/>
      <c r="F1734" s="96"/>
    </row>
    <row r="1735" spans="1:6" ht="13.5">
      <c r="A1735" s="86"/>
      <c r="B1735" s="91"/>
      <c r="C1735" s="92"/>
      <c r="D1735" s="82"/>
      <c r="E1735" s="82"/>
      <c r="F1735" s="96"/>
    </row>
    <row r="1736" spans="1:6" ht="13.5">
      <c r="A1736" s="86"/>
      <c r="B1736" s="91"/>
      <c r="C1736" s="92"/>
      <c r="D1736" s="82"/>
      <c r="E1736" s="82"/>
      <c r="F1736" s="96"/>
    </row>
    <row r="1737" spans="1:6" ht="13.5">
      <c r="A1737" s="86"/>
      <c r="B1737" s="91"/>
      <c r="C1737" s="92"/>
      <c r="D1737" s="82"/>
      <c r="E1737" s="82"/>
      <c r="F1737" s="96"/>
    </row>
    <row r="1738" spans="1:6" ht="13.5">
      <c r="A1738" s="86"/>
      <c r="B1738" s="91"/>
      <c r="C1738" s="92"/>
      <c r="D1738" s="82"/>
      <c r="E1738" s="82"/>
      <c r="F1738" s="96"/>
    </row>
    <row r="1739" spans="1:6" ht="13.5">
      <c r="A1739" s="86"/>
      <c r="B1739" s="91"/>
      <c r="C1739" s="92"/>
      <c r="D1739" s="82"/>
      <c r="E1739" s="82"/>
      <c r="F1739" s="96"/>
    </row>
    <row r="1740" spans="1:6" ht="13.5">
      <c r="A1740" s="86"/>
      <c r="B1740" s="91"/>
      <c r="C1740" s="92"/>
      <c r="D1740" s="82"/>
      <c r="E1740" s="82"/>
      <c r="F1740" s="96"/>
    </row>
    <row r="1741" spans="1:6" ht="13.5">
      <c r="A1741" s="86"/>
      <c r="B1741" s="91"/>
      <c r="C1741" s="92"/>
      <c r="D1741" s="82"/>
      <c r="E1741" s="82"/>
      <c r="F1741" s="96"/>
    </row>
    <row r="1742" spans="1:6" ht="13.5">
      <c r="A1742" s="86"/>
      <c r="B1742" s="91"/>
      <c r="C1742" s="92"/>
      <c r="D1742" s="82"/>
      <c r="E1742" s="82"/>
      <c r="F1742" s="96"/>
    </row>
    <row r="1743" spans="1:6" ht="13.5">
      <c r="A1743" s="86"/>
      <c r="B1743" s="91"/>
      <c r="C1743" s="92"/>
      <c r="D1743" s="82"/>
      <c r="E1743" s="82"/>
      <c r="F1743" s="96"/>
    </row>
    <row r="1744" spans="1:6" ht="13.5">
      <c r="A1744" s="86"/>
      <c r="B1744" s="91"/>
      <c r="C1744" s="92"/>
      <c r="D1744" s="82"/>
      <c r="E1744" s="82"/>
      <c r="F1744" s="96"/>
    </row>
    <row r="1745" spans="1:6" ht="13.5">
      <c r="A1745" s="86"/>
      <c r="B1745" s="91"/>
      <c r="C1745" s="92"/>
      <c r="D1745" s="82"/>
      <c r="E1745" s="82"/>
      <c r="F1745" s="96"/>
    </row>
    <row r="1746" spans="1:6" ht="13.5">
      <c r="A1746" s="86"/>
      <c r="B1746" s="91"/>
      <c r="C1746" s="92"/>
      <c r="D1746" s="82"/>
      <c r="E1746" s="82"/>
      <c r="F1746" s="96"/>
    </row>
    <row r="1747" spans="1:6" ht="13.5">
      <c r="A1747" s="86"/>
      <c r="B1747" s="91"/>
      <c r="C1747" s="92"/>
      <c r="D1747" s="82"/>
      <c r="E1747" s="82"/>
      <c r="F1747" s="96"/>
    </row>
    <row r="1748" spans="1:6" ht="13.5">
      <c r="A1748" s="86"/>
      <c r="B1748" s="91"/>
      <c r="C1748" s="92"/>
      <c r="D1748" s="82"/>
      <c r="E1748" s="82"/>
      <c r="F1748" s="96"/>
    </row>
    <row r="1749" spans="1:6" ht="13.5">
      <c r="A1749" s="86"/>
      <c r="B1749" s="91"/>
      <c r="C1749" s="92"/>
      <c r="D1749" s="82"/>
      <c r="E1749" s="82"/>
      <c r="F1749" s="96"/>
    </row>
    <row r="1750" spans="1:6" ht="13.5">
      <c r="A1750" s="86"/>
      <c r="B1750" s="91"/>
      <c r="C1750" s="92"/>
      <c r="D1750" s="82"/>
      <c r="E1750" s="82"/>
      <c r="F1750" s="96"/>
    </row>
    <row r="1751" spans="1:6" ht="13.5">
      <c r="A1751" s="86"/>
      <c r="B1751" s="91"/>
      <c r="C1751" s="92"/>
      <c r="D1751" s="82"/>
      <c r="E1751" s="82"/>
      <c r="F1751" s="96"/>
    </row>
    <row r="1752" spans="1:6" ht="13.5">
      <c r="A1752" s="86"/>
      <c r="B1752" s="91"/>
      <c r="C1752" s="92"/>
      <c r="D1752" s="82"/>
      <c r="E1752" s="82"/>
      <c r="F1752" s="96"/>
    </row>
    <row r="1753" spans="1:6" ht="13.5">
      <c r="A1753" s="86"/>
      <c r="B1753" s="91"/>
      <c r="C1753" s="92"/>
      <c r="D1753" s="82"/>
      <c r="E1753" s="82"/>
      <c r="F1753" s="96"/>
    </row>
    <row r="1754" spans="1:6" ht="13.5">
      <c r="A1754" s="86"/>
      <c r="B1754" s="91"/>
      <c r="C1754" s="92"/>
      <c r="D1754" s="82"/>
      <c r="E1754" s="82"/>
      <c r="F1754" s="96"/>
    </row>
    <row r="1755" spans="1:6" ht="13.5">
      <c r="A1755" s="86"/>
      <c r="B1755" s="91"/>
      <c r="C1755" s="92"/>
      <c r="D1755" s="82"/>
      <c r="E1755" s="82"/>
      <c r="F1755" s="96"/>
    </row>
    <row r="1756" spans="1:6" ht="13.5">
      <c r="A1756" s="86"/>
      <c r="B1756" s="91"/>
      <c r="C1756" s="92"/>
      <c r="D1756" s="82"/>
      <c r="E1756" s="82"/>
      <c r="F1756" s="96"/>
    </row>
    <row r="1757" spans="1:6" ht="13.5">
      <c r="A1757" s="86"/>
      <c r="B1757" s="91"/>
      <c r="C1757" s="92"/>
      <c r="D1757" s="82"/>
      <c r="E1757" s="82"/>
      <c r="F1757" s="96"/>
    </row>
    <row r="1758" spans="1:6" ht="13.5">
      <c r="A1758" s="86"/>
      <c r="B1758" s="91"/>
      <c r="C1758" s="92"/>
      <c r="D1758" s="82"/>
      <c r="E1758" s="82"/>
      <c r="F1758" s="96"/>
    </row>
    <row r="1759" spans="1:6" ht="13.5">
      <c r="A1759" s="86"/>
      <c r="B1759" s="91"/>
      <c r="C1759" s="92"/>
      <c r="D1759" s="82"/>
      <c r="E1759" s="82"/>
      <c r="F1759" s="96"/>
    </row>
    <row r="1760" spans="1:6" ht="13.5">
      <c r="A1760" s="86"/>
      <c r="B1760" s="91"/>
      <c r="C1760" s="92"/>
      <c r="D1760" s="82"/>
      <c r="E1760" s="82"/>
      <c r="F1760" s="96"/>
    </row>
    <row r="1761" spans="1:6" ht="13.5">
      <c r="A1761" s="86"/>
      <c r="B1761" s="91"/>
      <c r="C1761" s="92"/>
      <c r="D1761" s="82"/>
      <c r="E1761" s="82"/>
      <c r="F1761" s="96"/>
    </row>
    <row r="1762" spans="1:6" ht="13.5">
      <c r="A1762" s="86"/>
      <c r="B1762" s="91"/>
      <c r="C1762" s="92"/>
      <c r="D1762" s="82"/>
      <c r="E1762" s="82"/>
      <c r="F1762" s="96"/>
    </row>
    <row r="1763" spans="1:6" ht="13.5">
      <c r="A1763" s="86"/>
      <c r="B1763" s="91"/>
      <c r="C1763" s="92"/>
      <c r="D1763" s="82"/>
      <c r="E1763" s="82"/>
      <c r="F1763" s="96"/>
    </row>
    <row r="1764" spans="1:6" ht="13.5">
      <c r="A1764" s="86"/>
      <c r="B1764" s="91"/>
      <c r="C1764" s="92"/>
      <c r="D1764" s="82"/>
      <c r="E1764" s="82"/>
      <c r="F1764" s="96"/>
    </row>
    <row r="1765" spans="1:6" ht="13.5">
      <c r="A1765" s="86"/>
      <c r="B1765" s="91"/>
      <c r="C1765" s="92"/>
      <c r="D1765" s="82"/>
      <c r="E1765" s="82"/>
      <c r="F1765" s="96"/>
    </row>
    <row r="1766" spans="1:6" ht="13.5">
      <c r="A1766" s="86"/>
      <c r="B1766" s="91"/>
      <c r="C1766" s="92"/>
      <c r="D1766" s="82"/>
      <c r="E1766" s="82"/>
      <c r="F1766" s="96"/>
    </row>
    <row r="1767" spans="1:6" ht="13.5">
      <c r="A1767" s="86"/>
      <c r="B1767" s="91"/>
      <c r="C1767" s="92"/>
      <c r="D1767" s="82"/>
      <c r="E1767" s="82"/>
      <c r="F1767" s="96"/>
    </row>
    <row r="1768" spans="1:6" ht="13.5">
      <c r="A1768" s="86"/>
      <c r="B1768" s="91"/>
      <c r="C1768" s="92"/>
      <c r="D1768" s="82"/>
      <c r="E1768" s="82"/>
      <c r="F1768" s="96"/>
    </row>
    <row r="1769" spans="1:6" ht="13.5">
      <c r="A1769" s="86"/>
      <c r="B1769" s="91"/>
      <c r="C1769" s="92"/>
      <c r="D1769" s="82"/>
      <c r="E1769" s="82"/>
      <c r="F1769" s="96"/>
    </row>
    <row r="1770" spans="1:6" ht="13.5">
      <c r="A1770" s="86"/>
      <c r="B1770" s="91"/>
      <c r="C1770" s="92"/>
      <c r="D1770" s="82"/>
      <c r="E1770" s="82"/>
      <c r="F1770" s="96"/>
    </row>
    <row r="1771" spans="1:6" ht="13.5">
      <c r="A1771" s="86"/>
      <c r="B1771" s="91"/>
      <c r="C1771" s="92"/>
      <c r="D1771" s="82"/>
      <c r="E1771" s="82"/>
      <c r="F1771" s="96"/>
    </row>
    <row r="1772" spans="1:6" ht="13.5">
      <c r="A1772" s="86"/>
      <c r="B1772" s="91"/>
      <c r="C1772" s="92"/>
      <c r="D1772" s="82"/>
      <c r="E1772" s="82"/>
      <c r="F1772" s="96"/>
    </row>
    <row r="1773" spans="1:6" ht="13.5">
      <c r="A1773" s="86"/>
      <c r="B1773" s="91"/>
      <c r="C1773" s="92"/>
      <c r="D1773" s="82"/>
      <c r="E1773" s="82"/>
      <c r="F1773" s="96"/>
    </row>
    <row r="1774" spans="1:6" ht="13.5">
      <c r="A1774" s="86"/>
      <c r="B1774" s="91"/>
      <c r="C1774" s="92"/>
      <c r="D1774" s="82"/>
      <c r="E1774" s="82"/>
      <c r="F1774" s="96"/>
    </row>
    <row r="1775" spans="1:6" ht="13.5">
      <c r="A1775" s="86"/>
      <c r="B1775" s="91"/>
      <c r="C1775" s="92"/>
      <c r="D1775" s="82"/>
      <c r="E1775" s="82"/>
      <c r="F1775" s="96"/>
    </row>
    <row r="1776" spans="1:6" ht="13.5">
      <c r="A1776" s="86"/>
      <c r="B1776" s="91"/>
      <c r="C1776" s="92"/>
      <c r="D1776" s="82"/>
      <c r="E1776" s="82"/>
      <c r="F1776" s="96"/>
    </row>
    <row r="1777" spans="1:6" ht="13.5">
      <c r="A1777" s="86"/>
      <c r="B1777" s="91"/>
      <c r="C1777" s="92"/>
      <c r="D1777" s="82"/>
      <c r="E1777" s="82"/>
      <c r="F1777" s="96"/>
    </row>
    <row r="1778" spans="1:6" ht="13.5">
      <c r="A1778" s="86"/>
      <c r="B1778" s="91"/>
      <c r="C1778" s="92"/>
      <c r="D1778" s="82"/>
      <c r="E1778" s="82"/>
      <c r="F1778" s="96"/>
    </row>
    <row r="1779" spans="1:6" ht="13.5">
      <c r="A1779" s="86"/>
      <c r="B1779" s="91"/>
      <c r="C1779" s="92"/>
      <c r="D1779" s="82"/>
      <c r="E1779" s="82"/>
      <c r="F1779" s="96"/>
    </row>
    <row r="1780" spans="1:6" ht="13.5">
      <c r="A1780" s="86"/>
      <c r="B1780" s="91"/>
      <c r="C1780" s="92"/>
      <c r="D1780" s="82"/>
      <c r="E1780" s="82"/>
      <c r="F1780" s="96"/>
    </row>
    <row r="1781" spans="1:6" ht="13.5">
      <c r="A1781" s="86"/>
      <c r="B1781" s="91"/>
      <c r="C1781" s="92"/>
      <c r="D1781" s="82"/>
      <c r="E1781" s="82"/>
      <c r="F1781" s="96"/>
    </row>
    <row r="1782" spans="1:6" ht="13.5">
      <c r="A1782" s="86"/>
      <c r="B1782" s="91"/>
      <c r="C1782" s="92"/>
      <c r="D1782" s="82"/>
      <c r="E1782" s="82"/>
      <c r="F1782" s="96"/>
    </row>
    <row r="1783" spans="1:6" ht="13.5">
      <c r="A1783" s="86"/>
      <c r="B1783" s="91"/>
      <c r="C1783" s="92"/>
      <c r="D1783" s="82"/>
      <c r="E1783" s="82"/>
      <c r="F1783" s="96"/>
    </row>
    <row r="1784" spans="1:6" ht="13.5">
      <c r="A1784" s="86"/>
      <c r="B1784" s="91"/>
      <c r="C1784" s="92"/>
      <c r="D1784" s="82"/>
      <c r="E1784" s="82"/>
      <c r="F1784" s="96"/>
    </row>
    <row r="1785" spans="1:6" ht="13.5">
      <c r="A1785" s="86"/>
      <c r="B1785" s="91"/>
      <c r="C1785" s="92"/>
      <c r="D1785" s="82"/>
      <c r="E1785" s="82"/>
      <c r="F1785" s="96"/>
    </row>
    <row r="1786" spans="1:6" ht="13.5">
      <c r="A1786" s="86"/>
      <c r="B1786" s="91"/>
      <c r="C1786" s="92"/>
      <c r="D1786" s="82"/>
      <c r="E1786" s="82"/>
      <c r="F1786" s="96"/>
    </row>
    <row r="1787" spans="1:6" ht="13.5">
      <c r="A1787" s="86"/>
      <c r="B1787" s="91"/>
      <c r="C1787" s="92"/>
      <c r="D1787" s="82"/>
      <c r="E1787" s="82"/>
      <c r="F1787" s="96"/>
    </row>
    <row r="1788" spans="1:6" ht="13.5">
      <c r="A1788" s="86"/>
      <c r="B1788" s="91"/>
      <c r="C1788" s="92"/>
      <c r="D1788" s="82"/>
      <c r="E1788" s="82"/>
      <c r="F1788" s="96"/>
    </row>
    <row r="1789" spans="1:6" ht="13.5">
      <c r="A1789" s="86"/>
      <c r="B1789" s="91"/>
      <c r="C1789" s="92"/>
      <c r="D1789" s="82"/>
      <c r="E1789" s="82"/>
      <c r="F1789" s="96"/>
    </row>
    <row r="1790" spans="1:6" ht="13.5">
      <c r="A1790" s="86"/>
      <c r="B1790" s="91"/>
      <c r="C1790" s="92"/>
      <c r="D1790" s="82"/>
      <c r="E1790" s="82"/>
      <c r="F1790" s="96"/>
    </row>
    <row r="1791" spans="1:6" ht="13.5">
      <c r="A1791" s="86"/>
      <c r="B1791" s="91"/>
      <c r="C1791" s="92"/>
      <c r="D1791" s="82"/>
      <c r="E1791" s="82"/>
      <c r="F1791" s="96"/>
    </row>
    <row r="1792" spans="1:6" ht="13.5">
      <c r="A1792" s="86"/>
      <c r="B1792" s="91"/>
      <c r="C1792" s="92"/>
      <c r="D1792" s="82"/>
      <c r="E1792" s="82"/>
      <c r="F1792" s="96"/>
    </row>
    <row r="1793" spans="1:6" ht="13.5">
      <c r="A1793" s="86"/>
      <c r="B1793" s="91"/>
      <c r="C1793" s="92"/>
      <c r="D1793" s="82"/>
      <c r="E1793" s="82"/>
      <c r="F1793" s="96"/>
    </row>
    <row r="1794" spans="1:6" ht="13.5">
      <c r="A1794" s="86"/>
      <c r="B1794" s="91"/>
      <c r="C1794" s="92"/>
      <c r="D1794" s="82"/>
      <c r="E1794" s="82"/>
      <c r="F1794" s="96"/>
    </row>
    <row r="1795" spans="1:6" ht="13.5">
      <c r="A1795" s="86"/>
      <c r="B1795" s="91"/>
      <c r="C1795" s="92"/>
      <c r="D1795" s="82"/>
      <c r="E1795" s="82"/>
      <c r="F1795" s="96"/>
    </row>
    <row r="1796" spans="1:6" ht="13.5">
      <c r="A1796" s="86"/>
      <c r="B1796" s="91"/>
      <c r="C1796" s="92"/>
      <c r="D1796" s="82"/>
      <c r="E1796" s="82"/>
      <c r="F1796" s="96"/>
    </row>
    <row r="1797" spans="1:6" ht="13.5">
      <c r="A1797" s="86"/>
      <c r="B1797" s="91"/>
      <c r="C1797" s="92"/>
      <c r="D1797" s="82"/>
      <c r="E1797" s="82"/>
      <c r="F1797" s="96"/>
    </row>
    <row r="1798" spans="1:6" ht="13.5">
      <c r="A1798" s="86"/>
      <c r="B1798" s="91"/>
      <c r="C1798" s="92"/>
      <c r="D1798" s="82"/>
      <c r="E1798" s="82"/>
      <c r="F1798" s="96"/>
    </row>
    <row r="1799" spans="1:6" ht="13.5">
      <c r="A1799" s="86"/>
      <c r="B1799" s="91"/>
      <c r="C1799" s="92"/>
      <c r="D1799" s="82"/>
      <c r="E1799" s="82"/>
      <c r="F1799" s="96"/>
    </row>
    <row r="1800" spans="1:6" ht="13.5">
      <c r="A1800" s="86"/>
      <c r="B1800" s="91"/>
      <c r="C1800" s="92"/>
      <c r="D1800" s="82"/>
      <c r="E1800" s="82"/>
      <c r="F1800" s="96"/>
    </row>
    <row r="1801" spans="1:6" ht="13.5">
      <c r="A1801" s="86"/>
      <c r="B1801" s="91"/>
      <c r="C1801" s="92"/>
      <c r="D1801" s="82"/>
      <c r="E1801" s="82"/>
      <c r="F1801" s="96"/>
    </row>
    <row r="1802" spans="1:6" ht="13.5">
      <c r="A1802" s="86"/>
      <c r="B1802" s="91"/>
      <c r="C1802" s="92"/>
      <c r="D1802" s="82"/>
      <c r="E1802" s="82"/>
      <c r="F1802" s="96"/>
    </row>
    <row r="1803" spans="1:6" ht="13.5">
      <c r="A1803" s="86"/>
      <c r="B1803" s="91"/>
      <c r="C1803" s="92"/>
      <c r="D1803" s="82"/>
      <c r="E1803" s="82"/>
      <c r="F1803" s="96"/>
    </row>
    <row r="1804" spans="1:6" ht="13.5">
      <c r="A1804" s="86"/>
      <c r="B1804" s="91"/>
      <c r="C1804" s="92"/>
      <c r="D1804" s="82"/>
      <c r="E1804" s="82"/>
      <c r="F1804" s="96"/>
    </row>
    <row r="1805" spans="1:6" ht="13.5">
      <c r="A1805" s="86"/>
      <c r="B1805" s="91"/>
      <c r="C1805" s="92"/>
      <c r="D1805" s="82"/>
      <c r="E1805" s="82"/>
      <c r="F1805" s="96"/>
    </row>
    <row r="1806" spans="1:6" ht="13.5">
      <c r="A1806" s="86"/>
      <c r="B1806" s="91"/>
      <c r="C1806" s="92"/>
      <c r="D1806" s="82"/>
      <c r="E1806" s="82"/>
      <c r="F1806" s="96"/>
    </row>
    <row r="1807" spans="1:6" ht="13.5">
      <c r="A1807" s="86"/>
      <c r="B1807" s="91"/>
      <c r="C1807" s="92"/>
      <c r="D1807" s="82"/>
      <c r="E1807" s="82"/>
      <c r="F1807" s="96"/>
    </row>
    <row r="1808" spans="1:6" ht="13.5">
      <c r="A1808" s="86"/>
      <c r="B1808" s="91"/>
      <c r="C1808" s="92"/>
      <c r="D1808" s="82"/>
      <c r="E1808" s="82"/>
      <c r="F1808" s="96"/>
    </row>
    <row r="1809" spans="1:6" ht="13.5">
      <c r="A1809" s="86"/>
      <c r="B1809" s="91"/>
      <c r="C1809" s="92"/>
      <c r="D1809" s="82"/>
      <c r="E1809" s="82"/>
      <c r="F1809" s="96"/>
    </row>
    <row r="1810" spans="1:6" ht="13.5">
      <c r="A1810" s="86"/>
      <c r="B1810" s="91"/>
      <c r="C1810" s="92"/>
      <c r="D1810" s="82"/>
      <c r="E1810" s="82"/>
      <c r="F1810" s="96"/>
    </row>
    <row r="1811" spans="1:6" ht="13.5">
      <c r="A1811" s="86"/>
      <c r="B1811" s="91"/>
      <c r="C1811" s="92"/>
      <c r="D1811" s="82"/>
      <c r="E1811" s="82"/>
      <c r="F1811" s="96"/>
    </row>
    <row r="1812" spans="1:6" ht="13.5">
      <c r="A1812" s="86"/>
      <c r="B1812" s="91"/>
      <c r="C1812" s="92"/>
      <c r="D1812" s="82"/>
      <c r="E1812" s="82"/>
      <c r="F1812" s="96"/>
    </row>
    <row r="1813" spans="1:6" ht="13.5">
      <c r="A1813" s="86"/>
      <c r="B1813" s="91"/>
      <c r="C1813" s="92"/>
      <c r="D1813" s="82"/>
      <c r="E1813" s="82"/>
      <c r="F1813" s="96"/>
    </row>
    <row r="1814" spans="1:6" ht="13.5">
      <c r="A1814" s="86"/>
      <c r="B1814" s="91"/>
      <c r="C1814" s="92"/>
      <c r="D1814" s="82"/>
      <c r="E1814" s="82"/>
      <c r="F1814" s="96"/>
    </row>
    <row r="1815" spans="1:6" ht="13.5">
      <c r="A1815" s="86"/>
      <c r="B1815" s="91"/>
      <c r="C1815" s="92"/>
      <c r="D1815" s="82"/>
      <c r="E1815" s="82"/>
      <c r="F1815" s="96"/>
    </row>
    <row r="1816" spans="1:6" ht="13.5">
      <c r="A1816" s="86"/>
      <c r="B1816" s="91"/>
      <c r="C1816" s="92"/>
      <c r="D1816" s="82"/>
      <c r="E1816" s="82"/>
      <c r="F1816" s="96"/>
    </row>
    <row r="1817" spans="1:6" ht="13.5">
      <c r="A1817" s="86"/>
      <c r="B1817" s="91"/>
      <c r="C1817" s="92"/>
      <c r="D1817" s="82"/>
      <c r="E1817" s="82"/>
      <c r="F1817" s="96"/>
    </row>
    <row r="1818" spans="1:6" ht="13.5">
      <c r="A1818" s="86"/>
      <c r="B1818" s="91"/>
      <c r="C1818" s="92"/>
      <c r="D1818" s="82"/>
      <c r="E1818" s="82"/>
      <c r="F1818" s="96"/>
    </row>
    <row r="1819" spans="1:6" ht="13.5">
      <c r="A1819" s="86"/>
      <c r="B1819" s="91"/>
      <c r="C1819" s="92"/>
      <c r="D1819" s="82"/>
      <c r="E1819" s="82"/>
      <c r="F1819" s="96"/>
    </row>
    <row r="1820" spans="1:6" ht="13.5">
      <c r="A1820" s="86"/>
      <c r="B1820" s="91"/>
      <c r="C1820" s="92"/>
      <c r="D1820" s="82"/>
      <c r="E1820" s="82"/>
      <c r="F1820" s="96"/>
    </row>
    <row r="1821" spans="1:6" ht="13.5">
      <c r="A1821" s="86"/>
      <c r="B1821" s="91"/>
      <c r="C1821" s="92"/>
      <c r="D1821" s="82"/>
      <c r="E1821" s="82"/>
      <c r="F1821" s="96"/>
    </row>
    <row r="1822" spans="1:6" ht="13.5">
      <c r="A1822" s="86"/>
      <c r="B1822" s="91"/>
      <c r="C1822" s="92"/>
      <c r="D1822" s="82"/>
      <c r="E1822" s="82"/>
      <c r="F1822" s="96"/>
    </row>
    <row r="1823" spans="1:6" ht="13.5">
      <c r="A1823" s="86"/>
      <c r="B1823" s="91"/>
      <c r="C1823" s="92"/>
      <c r="D1823" s="82"/>
      <c r="E1823" s="82"/>
      <c r="F1823" s="96"/>
    </row>
    <row r="1824" spans="1:6" ht="13.5">
      <c r="A1824" s="86"/>
      <c r="B1824" s="91"/>
      <c r="C1824" s="92"/>
      <c r="D1824" s="82"/>
      <c r="E1824" s="82"/>
      <c r="F1824" s="96"/>
    </row>
    <row r="1825" spans="1:6" ht="13.5">
      <c r="A1825" s="86"/>
      <c r="B1825" s="91"/>
      <c r="C1825" s="92"/>
      <c r="D1825" s="82"/>
      <c r="E1825" s="82"/>
      <c r="F1825" s="96"/>
    </row>
    <row r="1826" spans="1:6" ht="13.5">
      <c r="A1826" s="86"/>
      <c r="B1826" s="91"/>
      <c r="C1826" s="92"/>
      <c r="D1826" s="82"/>
      <c r="E1826" s="82"/>
      <c r="F1826" s="96"/>
    </row>
    <row r="1827" spans="1:6" ht="13.5">
      <c r="A1827" s="86"/>
      <c r="B1827" s="91"/>
      <c r="C1827" s="92"/>
      <c r="D1827" s="82"/>
      <c r="E1827" s="82"/>
      <c r="F1827" s="96"/>
    </row>
    <row r="1828" spans="1:6" ht="13.5">
      <c r="A1828" s="86"/>
      <c r="B1828" s="91"/>
      <c r="C1828" s="92"/>
      <c r="D1828" s="82"/>
      <c r="E1828" s="82"/>
      <c r="F1828" s="96"/>
    </row>
    <row r="1829" spans="1:6" ht="13.5">
      <c r="A1829" s="86"/>
      <c r="B1829" s="91"/>
      <c r="C1829" s="92"/>
      <c r="D1829" s="82"/>
      <c r="E1829" s="82"/>
      <c r="F1829" s="96"/>
    </row>
    <row r="1830" spans="1:6" ht="13.5">
      <c r="A1830" s="86"/>
      <c r="B1830" s="91"/>
      <c r="C1830" s="92"/>
      <c r="D1830" s="82"/>
      <c r="E1830" s="82"/>
      <c r="F1830" s="96"/>
    </row>
    <row r="1831" spans="1:6" ht="13.5">
      <c r="A1831" s="86"/>
      <c r="B1831" s="91"/>
      <c r="C1831" s="92"/>
      <c r="D1831" s="82"/>
      <c r="E1831" s="82"/>
      <c r="F1831" s="96"/>
    </row>
    <row r="1832" spans="1:6" ht="13.5">
      <c r="A1832" s="86"/>
      <c r="B1832" s="91"/>
      <c r="C1832" s="92"/>
      <c r="D1832" s="82"/>
      <c r="E1832" s="82"/>
      <c r="F1832" s="96"/>
    </row>
    <row r="1833" spans="1:6" ht="13.5">
      <c r="A1833" s="86"/>
      <c r="B1833" s="91"/>
      <c r="C1833" s="92"/>
      <c r="D1833" s="82"/>
      <c r="E1833" s="82"/>
      <c r="F1833" s="96"/>
    </row>
    <row r="1834" spans="1:6" ht="13.5">
      <c r="A1834" s="86"/>
      <c r="B1834" s="91"/>
      <c r="C1834" s="92"/>
      <c r="D1834" s="82"/>
      <c r="E1834" s="82"/>
      <c r="F1834" s="96"/>
    </row>
    <row r="1835" spans="1:6" ht="13.5">
      <c r="A1835" s="86"/>
      <c r="B1835" s="91"/>
      <c r="C1835" s="92"/>
      <c r="D1835" s="82"/>
      <c r="E1835" s="82"/>
      <c r="F1835" s="96"/>
    </row>
    <row r="1836" spans="1:6" ht="13.5">
      <c r="A1836" s="86"/>
      <c r="B1836" s="91"/>
      <c r="C1836" s="92"/>
      <c r="D1836" s="82"/>
      <c r="E1836" s="82"/>
      <c r="F1836" s="96"/>
    </row>
    <row r="1837" spans="1:6" ht="13.5">
      <c r="A1837" s="86"/>
      <c r="B1837" s="91"/>
      <c r="C1837" s="92"/>
      <c r="D1837" s="82"/>
      <c r="E1837" s="82"/>
      <c r="F1837" s="96"/>
    </row>
    <row r="1838" spans="1:6" ht="13.5">
      <c r="A1838" s="86"/>
      <c r="B1838" s="91"/>
      <c r="C1838" s="92"/>
      <c r="D1838" s="82"/>
      <c r="E1838" s="82"/>
      <c r="F1838" s="96"/>
    </row>
    <row r="1839" spans="1:6" ht="13.5">
      <c r="A1839" s="86"/>
      <c r="B1839" s="91"/>
      <c r="C1839" s="92"/>
      <c r="D1839" s="82"/>
      <c r="E1839" s="82"/>
      <c r="F1839" s="96"/>
    </row>
    <row r="1840" spans="1:6" ht="13.5">
      <c r="A1840" s="86"/>
      <c r="B1840" s="91"/>
      <c r="C1840" s="92"/>
      <c r="D1840" s="82"/>
      <c r="E1840" s="82"/>
      <c r="F1840" s="96"/>
    </row>
    <row r="1841" spans="1:6" ht="13.5">
      <c r="A1841" s="86"/>
      <c r="B1841" s="91"/>
      <c r="C1841" s="92"/>
      <c r="D1841" s="82"/>
      <c r="E1841" s="82"/>
      <c r="F1841" s="96"/>
    </row>
    <row r="1842" spans="1:6" ht="13.5">
      <c r="A1842" s="86"/>
      <c r="B1842" s="91"/>
      <c r="C1842" s="92"/>
      <c r="D1842" s="82"/>
      <c r="E1842" s="82"/>
      <c r="F1842" s="96"/>
    </row>
    <row r="1843" spans="1:6" ht="13.5">
      <c r="A1843" s="86"/>
      <c r="B1843" s="91"/>
      <c r="C1843" s="92"/>
      <c r="D1843" s="82"/>
      <c r="E1843" s="82"/>
      <c r="F1843" s="96"/>
    </row>
    <row r="1844" spans="1:6" ht="13.5">
      <c r="A1844" s="86"/>
      <c r="B1844" s="91"/>
      <c r="C1844" s="92"/>
      <c r="D1844" s="82"/>
      <c r="E1844" s="82"/>
      <c r="F1844" s="96"/>
    </row>
    <row r="1845" spans="1:6" ht="13.5">
      <c r="A1845" s="86"/>
      <c r="B1845" s="91"/>
      <c r="C1845" s="92"/>
      <c r="D1845" s="82"/>
      <c r="E1845" s="82"/>
      <c r="F1845" s="96"/>
    </row>
    <row r="1846" spans="1:6" ht="13.5">
      <c r="A1846" s="86"/>
      <c r="B1846" s="91"/>
      <c r="C1846" s="92"/>
      <c r="D1846" s="82"/>
      <c r="E1846" s="82"/>
      <c r="F1846" s="96"/>
    </row>
    <row r="1847" spans="1:6" ht="13.5">
      <c r="A1847" s="86"/>
      <c r="B1847" s="91"/>
      <c r="C1847" s="92"/>
      <c r="D1847" s="82"/>
      <c r="E1847" s="82"/>
      <c r="F1847" s="96"/>
    </row>
    <row r="1848" spans="1:6" ht="13.5">
      <c r="A1848" s="86"/>
      <c r="B1848" s="91"/>
      <c r="C1848" s="92"/>
      <c r="D1848" s="82"/>
      <c r="E1848" s="82"/>
      <c r="F1848" s="96"/>
    </row>
    <row r="1849" spans="1:6" ht="13.5">
      <c r="A1849" s="86"/>
      <c r="B1849" s="91"/>
      <c r="C1849" s="92"/>
      <c r="D1849" s="82"/>
      <c r="E1849" s="82"/>
      <c r="F1849" s="96"/>
    </row>
    <row r="1850" spans="1:6" ht="13.5">
      <c r="A1850" s="86"/>
      <c r="B1850" s="91"/>
      <c r="C1850" s="92"/>
      <c r="D1850" s="82"/>
      <c r="E1850" s="82"/>
      <c r="F1850" s="96"/>
    </row>
    <row r="1851" spans="1:6" ht="13.5">
      <c r="A1851" s="86"/>
      <c r="B1851" s="91"/>
      <c r="C1851" s="92"/>
      <c r="D1851" s="82"/>
      <c r="E1851" s="82"/>
      <c r="F1851" s="96"/>
    </row>
    <row r="1852" spans="1:6" ht="13.5">
      <c r="A1852" s="86"/>
      <c r="B1852" s="91"/>
      <c r="C1852" s="92"/>
      <c r="D1852" s="82"/>
      <c r="E1852" s="82"/>
      <c r="F1852" s="96"/>
    </row>
    <row r="1853" spans="1:6" ht="13.5">
      <c r="A1853" s="86"/>
      <c r="B1853" s="91"/>
      <c r="C1853" s="92"/>
      <c r="D1853" s="82"/>
      <c r="E1853" s="82"/>
      <c r="F1853" s="96"/>
    </row>
    <row r="1854" spans="1:6" ht="13.5">
      <c r="A1854" s="86"/>
      <c r="B1854" s="91"/>
      <c r="C1854" s="92"/>
      <c r="D1854" s="82"/>
      <c r="E1854" s="82"/>
      <c r="F1854" s="96"/>
    </row>
    <row r="1855" spans="1:6" ht="13.5">
      <c r="A1855" s="86"/>
      <c r="B1855" s="91"/>
      <c r="C1855" s="92"/>
      <c r="D1855" s="82"/>
      <c r="E1855" s="82"/>
      <c r="F1855" s="96"/>
    </row>
    <row r="1856" spans="1:6" ht="13.5">
      <c r="A1856" s="86"/>
      <c r="B1856" s="91"/>
      <c r="C1856" s="92"/>
      <c r="D1856" s="82"/>
      <c r="E1856" s="82"/>
      <c r="F1856" s="96"/>
    </row>
    <row r="1857" spans="1:6" ht="13.5">
      <c r="A1857" s="86"/>
      <c r="B1857" s="91"/>
      <c r="C1857" s="92"/>
      <c r="D1857" s="82"/>
      <c r="E1857" s="82"/>
      <c r="F1857" s="96"/>
    </row>
    <row r="1858" spans="1:6" ht="13.5">
      <c r="A1858" s="86"/>
      <c r="B1858" s="91"/>
      <c r="C1858" s="92"/>
      <c r="D1858" s="82"/>
      <c r="E1858" s="82"/>
      <c r="F1858" s="96"/>
    </row>
    <row r="1859" spans="1:6" ht="13.5">
      <c r="A1859" s="86"/>
      <c r="B1859" s="91"/>
      <c r="C1859" s="92"/>
      <c r="D1859" s="82"/>
      <c r="E1859" s="82"/>
      <c r="F1859" s="96"/>
    </row>
    <row r="1860" spans="1:6" ht="13.5">
      <c r="A1860" s="86"/>
      <c r="B1860" s="91"/>
      <c r="C1860" s="92"/>
      <c r="D1860" s="82"/>
      <c r="E1860" s="82"/>
      <c r="F1860" s="96"/>
    </row>
    <row r="1861" spans="1:6" ht="13.5">
      <c r="A1861" s="86"/>
      <c r="B1861" s="91"/>
      <c r="C1861" s="92"/>
      <c r="D1861" s="82"/>
      <c r="E1861" s="82"/>
      <c r="F1861" s="96"/>
    </row>
    <row r="1862" spans="1:6" ht="13.5">
      <c r="A1862" s="86"/>
      <c r="B1862" s="91"/>
      <c r="C1862" s="92"/>
      <c r="D1862" s="82"/>
      <c r="E1862" s="82"/>
      <c r="F1862" s="96"/>
    </row>
    <row r="1863" spans="1:6" ht="13.5">
      <c r="A1863" s="86"/>
      <c r="B1863" s="91"/>
      <c r="C1863" s="92"/>
      <c r="D1863" s="82"/>
      <c r="E1863" s="82"/>
      <c r="F1863" s="96"/>
    </row>
    <row r="1864" spans="1:6" ht="13.5">
      <c r="A1864" s="86"/>
      <c r="B1864" s="91"/>
      <c r="C1864" s="92"/>
      <c r="D1864" s="82"/>
      <c r="E1864" s="82"/>
      <c r="F1864" s="96"/>
    </row>
    <row r="1865" spans="1:6" ht="13.5">
      <c r="A1865" s="86"/>
      <c r="B1865" s="91"/>
      <c r="C1865" s="92"/>
      <c r="D1865" s="82"/>
      <c r="E1865" s="82"/>
      <c r="F1865" s="96"/>
    </row>
    <row r="1866" spans="1:6" ht="13.5">
      <c r="A1866" s="86"/>
      <c r="B1866" s="91"/>
      <c r="C1866" s="92"/>
      <c r="D1866" s="82"/>
      <c r="E1866" s="82"/>
      <c r="F1866" s="96"/>
    </row>
    <row r="1867" spans="1:6" ht="13.5">
      <c r="A1867" s="86"/>
      <c r="B1867" s="91"/>
      <c r="C1867" s="92"/>
      <c r="D1867" s="82"/>
      <c r="E1867" s="82"/>
      <c r="F1867" s="96"/>
    </row>
    <row r="1868" spans="1:6" ht="13.5">
      <c r="A1868" s="86"/>
      <c r="B1868" s="91"/>
      <c r="C1868" s="92"/>
      <c r="D1868" s="82"/>
      <c r="E1868" s="82"/>
      <c r="F1868" s="96"/>
    </row>
    <row r="1869" spans="1:6" ht="13.5">
      <c r="A1869" s="86"/>
      <c r="B1869" s="91"/>
      <c r="C1869" s="92"/>
      <c r="D1869" s="82"/>
      <c r="E1869" s="82"/>
      <c r="F1869" s="96"/>
    </row>
    <row r="1870" spans="1:6" ht="13.5">
      <c r="A1870" s="86"/>
      <c r="B1870" s="91"/>
      <c r="C1870" s="92"/>
      <c r="D1870" s="82"/>
      <c r="E1870" s="82"/>
      <c r="F1870" s="96"/>
    </row>
    <row r="1871" spans="1:6" ht="13.5">
      <c r="A1871" s="86"/>
      <c r="B1871" s="91"/>
      <c r="C1871" s="92"/>
      <c r="D1871" s="82"/>
      <c r="E1871" s="82"/>
      <c r="F1871" s="96"/>
    </row>
    <row r="1872" spans="1:6" ht="13.5">
      <c r="A1872" s="86"/>
      <c r="B1872" s="91"/>
      <c r="C1872" s="92"/>
      <c r="D1872" s="82"/>
      <c r="E1872" s="82"/>
      <c r="F1872" s="96"/>
    </row>
    <row r="1873" spans="1:6" ht="13.5">
      <c r="A1873" s="86"/>
      <c r="B1873" s="91"/>
      <c r="C1873" s="92"/>
      <c r="D1873" s="82"/>
      <c r="E1873" s="82"/>
      <c r="F1873" s="96"/>
    </row>
    <row r="1874" spans="1:6" ht="13.5">
      <c r="A1874" s="86"/>
      <c r="B1874" s="91"/>
      <c r="C1874" s="92"/>
      <c r="D1874" s="82"/>
      <c r="E1874" s="82"/>
      <c r="F1874" s="96"/>
    </row>
    <row r="1875" spans="1:6" ht="13.5">
      <c r="A1875" s="86"/>
      <c r="B1875" s="91"/>
      <c r="C1875" s="92"/>
      <c r="D1875" s="82"/>
      <c r="E1875" s="82"/>
      <c r="F1875" s="96"/>
    </row>
    <row r="1876" spans="1:6" ht="13.5">
      <c r="A1876" s="86"/>
      <c r="B1876" s="91"/>
      <c r="C1876" s="92"/>
      <c r="D1876" s="82"/>
      <c r="E1876" s="82"/>
      <c r="F1876" s="96"/>
    </row>
    <row r="1877" spans="1:6" ht="13.5">
      <c r="A1877" s="86"/>
      <c r="B1877" s="91"/>
      <c r="C1877" s="92"/>
      <c r="D1877" s="82"/>
      <c r="E1877" s="82"/>
      <c r="F1877" s="96"/>
    </row>
    <row r="1878" spans="1:6" ht="13.5">
      <c r="A1878" s="86"/>
      <c r="B1878" s="91"/>
      <c r="C1878" s="92"/>
      <c r="D1878" s="82"/>
      <c r="E1878" s="82"/>
      <c r="F1878" s="96"/>
    </row>
    <row r="1879" spans="1:6" ht="13.5">
      <c r="A1879" s="86"/>
      <c r="B1879" s="91"/>
      <c r="C1879" s="92"/>
      <c r="D1879" s="82"/>
      <c r="E1879" s="82"/>
      <c r="F1879" s="96"/>
    </row>
    <row r="1880" spans="1:6" ht="13.5">
      <c r="A1880" s="86"/>
      <c r="B1880" s="91"/>
      <c r="C1880" s="92"/>
      <c r="D1880" s="82"/>
      <c r="E1880" s="82"/>
      <c r="F1880" s="96"/>
    </row>
    <row r="1881" spans="1:6" ht="13.5">
      <c r="A1881" s="86"/>
      <c r="B1881" s="91"/>
      <c r="C1881" s="92"/>
      <c r="D1881" s="82"/>
      <c r="E1881" s="82"/>
      <c r="F1881" s="96"/>
    </row>
    <row r="1882" spans="1:6" ht="13.5">
      <c r="A1882" s="86"/>
      <c r="B1882" s="91"/>
      <c r="C1882" s="92"/>
      <c r="D1882" s="82"/>
      <c r="E1882" s="82"/>
      <c r="F1882" s="96"/>
    </row>
    <row r="1883" spans="1:6" ht="13.5">
      <c r="A1883" s="86"/>
      <c r="B1883" s="91"/>
      <c r="C1883" s="92"/>
      <c r="D1883" s="82"/>
      <c r="E1883" s="82"/>
      <c r="F1883" s="96"/>
    </row>
    <row r="1884" spans="1:6" ht="13.5">
      <c r="A1884" s="86"/>
      <c r="B1884" s="91"/>
      <c r="C1884" s="92"/>
      <c r="D1884" s="82"/>
      <c r="E1884" s="82"/>
      <c r="F1884" s="96"/>
    </row>
    <row r="1885" spans="1:6" ht="13.5">
      <c r="A1885" s="86"/>
      <c r="B1885" s="91"/>
      <c r="C1885" s="92"/>
      <c r="D1885" s="82"/>
      <c r="E1885" s="82"/>
      <c r="F1885" s="96"/>
    </row>
    <row r="1886" spans="1:6" ht="13.5">
      <c r="A1886" s="86"/>
      <c r="B1886" s="91"/>
      <c r="C1886" s="92"/>
      <c r="D1886" s="82"/>
      <c r="E1886" s="82"/>
      <c r="F1886" s="96"/>
    </row>
    <row r="1887" spans="1:6" ht="13.5">
      <c r="A1887" s="86"/>
      <c r="B1887" s="91"/>
      <c r="C1887" s="92"/>
      <c r="D1887" s="82"/>
      <c r="E1887" s="82"/>
      <c r="F1887" s="96"/>
    </row>
    <row r="1888" spans="1:6" ht="13.5">
      <c r="A1888" s="86"/>
      <c r="B1888" s="91"/>
      <c r="C1888" s="92"/>
      <c r="D1888" s="82"/>
      <c r="E1888" s="82"/>
      <c r="F1888" s="96"/>
    </row>
    <row r="1889" spans="1:6" ht="13.5">
      <c r="A1889" s="86"/>
      <c r="B1889" s="91"/>
      <c r="C1889" s="92"/>
      <c r="D1889" s="82"/>
      <c r="E1889" s="82"/>
      <c r="F1889" s="96"/>
    </row>
    <row r="1890" spans="1:6" ht="13.5">
      <c r="A1890" s="86"/>
      <c r="B1890" s="91"/>
      <c r="C1890" s="92"/>
      <c r="D1890" s="82"/>
      <c r="E1890" s="82"/>
      <c r="F1890" s="96"/>
    </row>
    <row r="1891" spans="1:6" ht="13.5">
      <c r="A1891" s="86"/>
      <c r="B1891" s="91"/>
      <c r="C1891" s="92"/>
      <c r="D1891" s="82"/>
      <c r="E1891" s="82"/>
      <c r="F1891" s="96"/>
    </row>
    <row r="1892" spans="1:6" ht="13.5">
      <c r="A1892" s="86"/>
      <c r="B1892" s="91"/>
      <c r="C1892" s="92"/>
      <c r="D1892" s="82"/>
      <c r="E1892" s="82"/>
      <c r="F1892" s="96"/>
    </row>
    <row r="1893" spans="1:6" ht="13.5">
      <c r="A1893" s="86"/>
      <c r="B1893" s="91"/>
      <c r="C1893" s="92"/>
      <c r="D1893" s="82"/>
      <c r="E1893" s="82"/>
      <c r="F1893" s="96"/>
    </row>
    <row r="1894" spans="1:6" ht="13.5">
      <c r="A1894" s="86"/>
      <c r="B1894" s="91"/>
      <c r="C1894" s="92"/>
      <c r="D1894" s="82"/>
      <c r="E1894" s="82"/>
      <c r="F1894" s="96"/>
    </row>
    <row r="1895" spans="1:6" ht="13.5">
      <c r="A1895" s="86"/>
      <c r="B1895" s="91"/>
      <c r="C1895" s="92"/>
      <c r="D1895" s="82"/>
      <c r="E1895" s="82"/>
      <c r="F1895" s="96"/>
    </row>
    <row r="1896" spans="1:6" ht="13.5">
      <c r="A1896" s="86"/>
      <c r="B1896" s="91"/>
      <c r="C1896" s="92"/>
      <c r="D1896" s="82"/>
      <c r="E1896" s="82"/>
      <c r="F1896" s="96"/>
    </row>
    <row r="1897" spans="1:6" ht="13.5">
      <c r="A1897" s="86"/>
      <c r="B1897" s="91"/>
      <c r="C1897" s="92"/>
      <c r="D1897" s="82"/>
      <c r="E1897" s="82"/>
      <c r="F1897" s="96"/>
    </row>
    <row r="1898" spans="1:6" ht="13.5">
      <c r="A1898" s="86"/>
      <c r="B1898" s="91"/>
      <c r="C1898" s="92"/>
      <c r="D1898" s="82"/>
      <c r="E1898" s="82"/>
      <c r="F1898" s="96"/>
    </row>
    <row r="1899" spans="1:6" ht="13.5">
      <c r="A1899" s="86"/>
      <c r="B1899" s="91"/>
      <c r="C1899" s="92"/>
      <c r="D1899" s="82"/>
      <c r="E1899" s="82"/>
      <c r="F1899" s="96"/>
    </row>
    <row r="1900" spans="1:6" ht="13.5">
      <c r="A1900" s="86"/>
      <c r="B1900" s="91"/>
      <c r="C1900" s="92"/>
      <c r="D1900" s="82"/>
      <c r="E1900" s="82"/>
      <c r="F1900" s="96"/>
    </row>
    <row r="1901" spans="1:6" ht="13.5">
      <c r="A1901" s="86"/>
      <c r="B1901" s="91"/>
      <c r="C1901" s="92"/>
      <c r="D1901" s="82"/>
      <c r="E1901" s="82"/>
      <c r="F1901" s="96"/>
    </row>
    <row r="1902" spans="1:6" ht="13.5">
      <c r="A1902" s="86"/>
      <c r="B1902" s="91"/>
      <c r="C1902" s="92"/>
      <c r="D1902" s="82"/>
      <c r="E1902" s="82"/>
      <c r="F1902" s="96"/>
    </row>
    <row r="1903" spans="1:6" ht="13.5">
      <c r="A1903" s="86"/>
      <c r="B1903" s="91"/>
      <c r="C1903" s="92"/>
      <c r="D1903" s="82"/>
      <c r="E1903" s="82"/>
      <c r="F1903" s="96"/>
    </row>
    <row r="1904" spans="1:6" ht="13.5">
      <c r="A1904" s="86"/>
      <c r="B1904" s="91"/>
      <c r="C1904" s="92"/>
      <c r="D1904" s="82"/>
      <c r="E1904" s="82"/>
      <c r="F1904" s="96"/>
    </row>
    <row r="1905" spans="1:6" ht="13.5">
      <c r="A1905" s="86"/>
      <c r="B1905" s="91"/>
      <c r="C1905" s="92"/>
      <c r="D1905" s="82"/>
      <c r="E1905" s="82"/>
      <c r="F1905" s="96"/>
    </row>
    <row r="1906" spans="1:6" ht="13.5">
      <c r="A1906" s="86"/>
      <c r="B1906" s="91"/>
      <c r="C1906" s="92"/>
      <c r="D1906" s="82"/>
      <c r="E1906" s="82"/>
      <c r="F1906" s="96"/>
    </row>
    <row r="1907" spans="1:6" ht="13.5">
      <c r="A1907" s="86"/>
      <c r="B1907" s="91"/>
      <c r="C1907" s="92"/>
      <c r="D1907" s="82"/>
      <c r="E1907" s="82"/>
      <c r="F1907" s="96"/>
    </row>
    <row r="1908" spans="1:6" ht="13.5">
      <c r="A1908" s="86"/>
      <c r="B1908" s="91"/>
      <c r="C1908" s="92"/>
      <c r="D1908" s="82"/>
      <c r="E1908" s="82"/>
      <c r="F1908" s="96"/>
    </row>
    <row r="1909" spans="1:6" ht="13.5">
      <c r="A1909" s="86"/>
      <c r="B1909" s="91"/>
      <c r="C1909" s="92"/>
      <c r="D1909" s="82"/>
      <c r="E1909" s="82"/>
      <c r="F1909" s="96"/>
    </row>
    <row r="1910" spans="1:6" ht="13.5">
      <c r="A1910" s="86"/>
      <c r="B1910" s="91"/>
      <c r="C1910" s="92"/>
      <c r="D1910" s="82"/>
      <c r="E1910" s="82"/>
      <c r="F1910" s="96"/>
    </row>
    <row r="1911" spans="1:6" ht="13.5">
      <c r="A1911" s="86"/>
      <c r="B1911" s="91"/>
      <c r="C1911" s="92"/>
      <c r="D1911" s="82"/>
      <c r="E1911" s="82"/>
      <c r="F1911" s="96"/>
    </row>
    <row r="1912" spans="1:6" ht="13.5">
      <c r="A1912" s="86"/>
      <c r="B1912" s="91"/>
      <c r="C1912" s="92"/>
      <c r="D1912" s="82"/>
      <c r="E1912" s="82"/>
      <c r="F1912" s="96"/>
    </row>
    <row r="1913" spans="1:6" ht="13.5">
      <c r="A1913" s="86"/>
      <c r="B1913" s="91"/>
      <c r="C1913" s="92"/>
      <c r="D1913" s="82"/>
      <c r="E1913" s="82"/>
      <c r="F1913" s="96"/>
    </row>
    <row r="1914" spans="1:6" ht="13.5">
      <c r="A1914" s="86"/>
      <c r="B1914" s="91"/>
      <c r="C1914" s="92"/>
      <c r="D1914" s="82"/>
      <c r="E1914" s="82"/>
      <c r="F1914" s="96"/>
    </row>
    <row r="1915" spans="1:6" ht="13.5">
      <c r="A1915" s="86"/>
      <c r="B1915" s="91"/>
      <c r="C1915" s="92"/>
      <c r="D1915" s="82"/>
      <c r="E1915" s="82"/>
      <c r="F1915" s="96"/>
    </row>
    <row r="1916" spans="1:6" ht="13.5">
      <c r="A1916" s="86"/>
      <c r="B1916" s="91"/>
      <c r="C1916" s="92"/>
      <c r="D1916" s="82"/>
      <c r="E1916" s="82"/>
      <c r="F1916" s="96"/>
    </row>
    <row r="1917" spans="1:6" ht="13.5">
      <c r="A1917" s="86"/>
      <c r="B1917" s="91"/>
      <c r="C1917" s="92"/>
      <c r="D1917" s="82"/>
      <c r="E1917" s="82"/>
      <c r="F1917" s="96"/>
    </row>
  </sheetData>
  <mergeCells count="18">
    <mergeCell ref="B6:F6"/>
    <mergeCell ref="B1:F1"/>
    <mergeCell ref="A2:F2"/>
    <mergeCell ref="A4:F4"/>
    <mergeCell ref="A5:F5"/>
    <mergeCell ref="D3:F3"/>
    <mergeCell ref="A156:F156"/>
    <mergeCell ref="A7:F7"/>
    <mergeCell ref="A8:F8"/>
    <mergeCell ref="A9:F9"/>
    <mergeCell ref="A12:F12"/>
    <mergeCell ref="A144:F144"/>
    <mergeCell ref="A146:F146"/>
    <mergeCell ref="A147:F147"/>
    <mergeCell ref="A148:F148"/>
    <mergeCell ref="A150:F150"/>
    <mergeCell ref="A152:F152"/>
    <mergeCell ref="A154:F15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&amp;LBD Hübnerové&amp;ROdhad stavebních nákladů</oddHeader>
    <oddFooter>&amp;CStránka &amp;P z &amp;N</oddFooter>
  </headerFooter>
  <rowBreaks count="3" manualBreakCount="3">
    <brk id="58" max="16383" man="1"/>
    <brk id="156" max="16383" man="1"/>
    <brk id="1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H1818"/>
  <sheetViews>
    <sheetView view="pageBreakPreview" zoomScaleSheetLayoutView="100" workbookViewId="0" topLeftCell="A1">
      <selection activeCell="A3" sqref="A3"/>
    </sheetView>
  </sheetViews>
  <sheetFormatPr defaultColWidth="9.33203125" defaultRowHeight="13.5"/>
  <cols>
    <col min="1" max="1" width="56.83203125" style="103" customWidth="1"/>
    <col min="2" max="2" width="8" style="104" customWidth="1"/>
    <col min="3" max="3" width="11.16015625" style="105" customWidth="1"/>
    <col min="4" max="4" width="20.66015625" style="106" customWidth="1"/>
    <col min="5" max="5" width="22" style="106" customWidth="1"/>
    <col min="6" max="6" width="10.66015625" style="107" customWidth="1"/>
    <col min="7" max="7" width="2" style="54" customWidth="1"/>
    <col min="8" max="8" width="27.83203125" style="54" customWidth="1"/>
    <col min="9" max="9" width="12.16015625" style="54" customWidth="1"/>
    <col min="10" max="256" width="9.33203125" style="54" customWidth="1"/>
    <col min="257" max="257" width="55.33203125" style="54" customWidth="1"/>
    <col min="258" max="258" width="8" style="54" customWidth="1"/>
    <col min="259" max="259" width="9.83203125" style="54" customWidth="1"/>
    <col min="260" max="260" width="11.33203125" style="54" customWidth="1"/>
    <col min="261" max="261" width="17.66015625" style="54" customWidth="1"/>
    <col min="262" max="262" width="10.66015625" style="54" customWidth="1"/>
    <col min="263" max="512" width="9.33203125" style="54" customWidth="1"/>
    <col min="513" max="513" width="55.33203125" style="54" customWidth="1"/>
    <col min="514" max="514" width="8" style="54" customWidth="1"/>
    <col min="515" max="515" width="9.83203125" style="54" customWidth="1"/>
    <col min="516" max="516" width="11.33203125" style="54" customWidth="1"/>
    <col min="517" max="517" width="17.66015625" style="54" customWidth="1"/>
    <col min="518" max="518" width="10.66015625" style="54" customWidth="1"/>
    <col min="519" max="768" width="9.33203125" style="54" customWidth="1"/>
    <col min="769" max="769" width="55.33203125" style="54" customWidth="1"/>
    <col min="770" max="770" width="8" style="54" customWidth="1"/>
    <col min="771" max="771" width="9.83203125" style="54" customWidth="1"/>
    <col min="772" max="772" width="11.33203125" style="54" customWidth="1"/>
    <col min="773" max="773" width="17.66015625" style="54" customWidth="1"/>
    <col min="774" max="774" width="10.66015625" style="54" customWidth="1"/>
    <col min="775" max="1024" width="9.33203125" style="54" customWidth="1"/>
    <col min="1025" max="1025" width="55.33203125" style="54" customWidth="1"/>
    <col min="1026" max="1026" width="8" style="54" customWidth="1"/>
    <col min="1027" max="1027" width="9.83203125" style="54" customWidth="1"/>
    <col min="1028" max="1028" width="11.33203125" style="54" customWidth="1"/>
    <col min="1029" max="1029" width="17.66015625" style="54" customWidth="1"/>
    <col min="1030" max="1030" width="10.66015625" style="54" customWidth="1"/>
    <col min="1031" max="1280" width="9.33203125" style="54" customWidth="1"/>
    <col min="1281" max="1281" width="55.33203125" style="54" customWidth="1"/>
    <col min="1282" max="1282" width="8" style="54" customWidth="1"/>
    <col min="1283" max="1283" width="9.83203125" style="54" customWidth="1"/>
    <col min="1284" max="1284" width="11.33203125" style="54" customWidth="1"/>
    <col min="1285" max="1285" width="17.66015625" style="54" customWidth="1"/>
    <col min="1286" max="1286" width="10.66015625" style="54" customWidth="1"/>
    <col min="1287" max="1536" width="9.33203125" style="54" customWidth="1"/>
    <col min="1537" max="1537" width="55.33203125" style="54" customWidth="1"/>
    <col min="1538" max="1538" width="8" style="54" customWidth="1"/>
    <col min="1539" max="1539" width="9.83203125" style="54" customWidth="1"/>
    <col min="1540" max="1540" width="11.33203125" style="54" customWidth="1"/>
    <col min="1541" max="1541" width="17.66015625" style="54" customWidth="1"/>
    <col min="1542" max="1542" width="10.66015625" style="54" customWidth="1"/>
    <col min="1543" max="1792" width="9.33203125" style="54" customWidth="1"/>
    <col min="1793" max="1793" width="55.33203125" style="54" customWidth="1"/>
    <col min="1794" max="1794" width="8" style="54" customWidth="1"/>
    <col min="1795" max="1795" width="9.83203125" style="54" customWidth="1"/>
    <col min="1796" max="1796" width="11.33203125" style="54" customWidth="1"/>
    <col min="1797" max="1797" width="17.66015625" style="54" customWidth="1"/>
    <col min="1798" max="1798" width="10.66015625" style="54" customWidth="1"/>
    <col min="1799" max="2048" width="9.33203125" style="54" customWidth="1"/>
    <col min="2049" max="2049" width="55.33203125" style="54" customWidth="1"/>
    <col min="2050" max="2050" width="8" style="54" customWidth="1"/>
    <col min="2051" max="2051" width="9.83203125" style="54" customWidth="1"/>
    <col min="2052" max="2052" width="11.33203125" style="54" customWidth="1"/>
    <col min="2053" max="2053" width="17.66015625" style="54" customWidth="1"/>
    <col min="2054" max="2054" width="10.66015625" style="54" customWidth="1"/>
    <col min="2055" max="2304" width="9.33203125" style="54" customWidth="1"/>
    <col min="2305" max="2305" width="55.33203125" style="54" customWidth="1"/>
    <col min="2306" max="2306" width="8" style="54" customWidth="1"/>
    <col min="2307" max="2307" width="9.83203125" style="54" customWidth="1"/>
    <col min="2308" max="2308" width="11.33203125" style="54" customWidth="1"/>
    <col min="2309" max="2309" width="17.66015625" style="54" customWidth="1"/>
    <col min="2310" max="2310" width="10.66015625" style="54" customWidth="1"/>
    <col min="2311" max="2560" width="9.33203125" style="54" customWidth="1"/>
    <col min="2561" max="2561" width="55.33203125" style="54" customWidth="1"/>
    <col min="2562" max="2562" width="8" style="54" customWidth="1"/>
    <col min="2563" max="2563" width="9.83203125" style="54" customWidth="1"/>
    <col min="2564" max="2564" width="11.33203125" style="54" customWidth="1"/>
    <col min="2565" max="2565" width="17.66015625" style="54" customWidth="1"/>
    <col min="2566" max="2566" width="10.66015625" style="54" customWidth="1"/>
    <col min="2567" max="2816" width="9.33203125" style="54" customWidth="1"/>
    <col min="2817" max="2817" width="55.33203125" style="54" customWidth="1"/>
    <col min="2818" max="2818" width="8" style="54" customWidth="1"/>
    <col min="2819" max="2819" width="9.83203125" style="54" customWidth="1"/>
    <col min="2820" max="2820" width="11.33203125" style="54" customWidth="1"/>
    <col min="2821" max="2821" width="17.66015625" style="54" customWidth="1"/>
    <col min="2822" max="2822" width="10.66015625" style="54" customWidth="1"/>
    <col min="2823" max="3072" width="9.33203125" style="54" customWidth="1"/>
    <col min="3073" max="3073" width="55.33203125" style="54" customWidth="1"/>
    <col min="3074" max="3074" width="8" style="54" customWidth="1"/>
    <col min="3075" max="3075" width="9.83203125" style="54" customWidth="1"/>
    <col min="3076" max="3076" width="11.33203125" style="54" customWidth="1"/>
    <col min="3077" max="3077" width="17.66015625" style="54" customWidth="1"/>
    <col min="3078" max="3078" width="10.66015625" style="54" customWidth="1"/>
    <col min="3079" max="3328" width="9.33203125" style="54" customWidth="1"/>
    <col min="3329" max="3329" width="55.33203125" style="54" customWidth="1"/>
    <col min="3330" max="3330" width="8" style="54" customWidth="1"/>
    <col min="3331" max="3331" width="9.83203125" style="54" customWidth="1"/>
    <col min="3332" max="3332" width="11.33203125" style="54" customWidth="1"/>
    <col min="3333" max="3333" width="17.66015625" style="54" customWidth="1"/>
    <col min="3334" max="3334" width="10.66015625" style="54" customWidth="1"/>
    <col min="3335" max="3584" width="9.33203125" style="54" customWidth="1"/>
    <col min="3585" max="3585" width="55.33203125" style="54" customWidth="1"/>
    <col min="3586" max="3586" width="8" style="54" customWidth="1"/>
    <col min="3587" max="3587" width="9.83203125" style="54" customWidth="1"/>
    <col min="3588" max="3588" width="11.33203125" style="54" customWidth="1"/>
    <col min="3589" max="3589" width="17.66015625" style="54" customWidth="1"/>
    <col min="3590" max="3590" width="10.66015625" style="54" customWidth="1"/>
    <col min="3591" max="3840" width="9.33203125" style="54" customWidth="1"/>
    <col min="3841" max="3841" width="55.33203125" style="54" customWidth="1"/>
    <col min="3842" max="3842" width="8" style="54" customWidth="1"/>
    <col min="3843" max="3843" width="9.83203125" style="54" customWidth="1"/>
    <col min="3844" max="3844" width="11.33203125" style="54" customWidth="1"/>
    <col min="3845" max="3845" width="17.66015625" style="54" customWidth="1"/>
    <col min="3846" max="3846" width="10.66015625" style="54" customWidth="1"/>
    <col min="3847" max="4096" width="9.33203125" style="54" customWidth="1"/>
    <col min="4097" max="4097" width="55.33203125" style="54" customWidth="1"/>
    <col min="4098" max="4098" width="8" style="54" customWidth="1"/>
    <col min="4099" max="4099" width="9.83203125" style="54" customWidth="1"/>
    <col min="4100" max="4100" width="11.33203125" style="54" customWidth="1"/>
    <col min="4101" max="4101" width="17.66015625" style="54" customWidth="1"/>
    <col min="4102" max="4102" width="10.66015625" style="54" customWidth="1"/>
    <col min="4103" max="4352" width="9.33203125" style="54" customWidth="1"/>
    <col min="4353" max="4353" width="55.33203125" style="54" customWidth="1"/>
    <col min="4354" max="4354" width="8" style="54" customWidth="1"/>
    <col min="4355" max="4355" width="9.83203125" style="54" customWidth="1"/>
    <col min="4356" max="4356" width="11.33203125" style="54" customWidth="1"/>
    <col min="4357" max="4357" width="17.66015625" style="54" customWidth="1"/>
    <col min="4358" max="4358" width="10.66015625" style="54" customWidth="1"/>
    <col min="4359" max="4608" width="9.33203125" style="54" customWidth="1"/>
    <col min="4609" max="4609" width="55.33203125" style="54" customWidth="1"/>
    <col min="4610" max="4610" width="8" style="54" customWidth="1"/>
    <col min="4611" max="4611" width="9.83203125" style="54" customWidth="1"/>
    <col min="4612" max="4612" width="11.33203125" style="54" customWidth="1"/>
    <col min="4613" max="4613" width="17.66015625" style="54" customWidth="1"/>
    <col min="4614" max="4614" width="10.66015625" style="54" customWidth="1"/>
    <col min="4615" max="4864" width="9.33203125" style="54" customWidth="1"/>
    <col min="4865" max="4865" width="55.33203125" style="54" customWidth="1"/>
    <col min="4866" max="4866" width="8" style="54" customWidth="1"/>
    <col min="4867" max="4867" width="9.83203125" style="54" customWidth="1"/>
    <col min="4868" max="4868" width="11.33203125" style="54" customWidth="1"/>
    <col min="4869" max="4869" width="17.66015625" style="54" customWidth="1"/>
    <col min="4870" max="4870" width="10.66015625" style="54" customWidth="1"/>
    <col min="4871" max="5120" width="9.33203125" style="54" customWidth="1"/>
    <col min="5121" max="5121" width="55.33203125" style="54" customWidth="1"/>
    <col min="5122" max="5122" width="8" style="54" customWidth="1"/>
    <col min="5123" max="5123" width="9.83203125" style="54" customWidth="1"/>
    <col min="5124" max="5124" width="11.33203125" style="54" customWidth="1"/>
    <col min="5125" max="5125" width="17.66015625" style="54" customWidth="1"/>
    <col min="5126" max="5126" width="10.66015625" style="54" customWidth="1"/>
    <col min="5127" max="5376" width="9.33203125" style="54" customWidth="1"/>
    <col min="5377" max="5377" width="55.33203125" style="54" customWidth="1"/>
    <col min="5378" max="5378" width="8" style="54" customWidth="1"/>
    <col min="5379" max="5379" width="9.83203125" style="54" customWidth="1"/>
    <col min="5380" max="5380" width="11.33203125" style="54" customWidth="1"/>
    <col min="5381" max="5381" width="17.66015625" style="54" customWidth="1"/>
    <col min="5382" max="5382" width="10.66015625" style="54" customWidth="1"/>
    <col min="5383" max="5632" width="9.33203125" style="54" customWidth="1"/>
    <col min="5633" max="5633" width="55.33203125" style="54" customWidth="1"/>
    <col min="5634" max="5634" width="8" style="54" customWidth="1"/>
    <col min="5635" max="5635" width="9.83203125" style="54" customWidth="1"/>
    <col min="5636" max="5636" width="11.33203125" style="54" customWidth="1"/>
    <col min="5637" max="5637" width="17.66015625" style="54" customWidth="1"/>
    <col min="5638" max="5638" width="10.66015625" style="54" customWidth="1"/>
    <col min="5639" max="5888" width="9.33203125" style="54" customWidth="1"/>
    <col min="5889" max="5889" width="55.33203125" style="54" customWidth="1"/>
    <col min="5890" max="5890" width="8" style="54" customWidth="1"/>
    <col min="5891" max="5891" width="9.83203125" style="54" customWidth="1"/>
    <col min="5892" max="5892" width="11.33203125" style="54" customWidth="1"/>
    <col min="5893" max="5893" width="17.66015625" style="54" customWidth="1"/>
    <col min="5894" max="5894" width="10.66015625" style="54" customWidth="1"/>
    <col min="5895" max="6144" width="9.33203125" style="54" customWidth="1"/>
    <col min="6145" max="6145" width="55.33203125" style="54" customWidth="1"/>
    <col min="6146" max="6146" width="8" style="54" customWidth="1"/>
    <col min="6147" max="6147" width="9.83203125" style="54" customWidth="1"/>
    <col min="6148" max="6148" width="11.33203125" style="54" customWidth="1"/>
    <col min="6149" max="6149" width="17.66015625" style="54" customWidth="1"/>
    <col min="6150" max="6150" width="10.66015625" style="54" customWidth="1"/>
    <col min="6151" max="6400" width="9.33203125" style="54" customWidth="1"/>
    <col min="6401" max="6401" width="55.33203125" style="54" customWidth="1"/>
    <col min="6402" max="6402" width="8" style="54" customWidth="1"/>
    <col min="6403" max="6403" width="9.83203125" style="54" customWidth="1"/>
    <col min="6404" max="6404" width="11.33203125" style="54" customWidth="1"/>
    <col min="6405" max="6405" width="17.66015625" style="54" customWidth="1"/>
    <col min="6406" max="6406" width="10.66015625" style="54" customWidth="1"/>
    <col min="6407" max="6656" width="9.33203125" style="54" customWidth="1"/>
    <col min="6657" max="6657" width="55.33203125" style="54" customWidth="1"/>
    <col min="6658" max="6658" width="8" style="54" customWidth="1"/>
    <col min="6659" max="6659" width="9.83203125" style="54" customWidth="1"/>
    <col min="6660" max="6660" width="11.33203125" style="54" customWidth="1"/>
    <col min="6661" max="6661" width="17.66015625" style="54" customWidth="1"/>
    <col min="6662" max="6662" width="10.66015625" style="54" customWidth="1"/>
    <col min="6663" max="6912" width="9.33203125" style="54" customWidth="1"/>
    <col min="6913" max="6913" width="55.33203125" style="54" customWidth="1"/>
    <col min="6914" max="6914" width="8" style="54" customWidth="1"/>
    <col min="6915" max="6915" width="9.83203125" style="54" customWidth="1"/>
    <col min="6916" max="6916" width="11.33203125" style="54" customWidth="1"/>
    <col min="6917" max="6917" width="17.66015625" style="54" customWidth="1"/>
    <col min="6918" max="6918" width="10.66015625" style="54" customWidth="1"/>
    <col min="6919" max="7168" width="9.33203125" style="54" customWidth="1"/>
    <col min="7169" max="7169" width="55.33203125" style="54" customWidth="1"/>
    <col min="7170" max="7170" width="8" style="54" customWidth="1"/>
    <col min="7171" max="7171" width="9.83203125" style="54" customWidth="1"/>
    <col min="7172" max="7172" width="11.33203125" style="54" customWidth="1"/>
    <col min="7173" max="7173" width="17.66015625" style="54" customWidth="1"/>
    <col min="7174" max="7174" width="10.66015625" style="54" customWidth="1"/>
    <col min="7175" max="7424" width="9.33203125" style="54" customWidth="1"/>
    <col min="7425" max="7425" width="55.33203125" style="54" customWidth="1"/>
    <col min="7426" max="7426" width="8" style="54" customWidth="1"/>
    <col min="7427" max="7427" width="9.83203125" style="54" customWidth="1"/>
    <col min="7428" max="7428" width="11.33203125" style="54" customWidth="1"/>
    <col min="7429" max="7429" width="17.66015625" style="54" customWidth="1"/>
    <col min="7430" max="7430" width="10.66015625" style="54" customWidth="1"/>
    <col min="7431" max="7680" width="9.33203125" style="54" customWidth="1"/>
    <col min="7681" max="7681" width="55.33203125" style="54" customWidth="1"/>
    <col min="7682" max="7682" width="8" style="54" customWidth="1"/>
    <col min="7683" max="7683" width="9.83203125" style="54" customWidth="1"/>
    <col min="7684" max="7684" width="11.33203125" style="54" customWidth="1"/>
    <col min="7685" max="7685" width="17.66015625" style="54" customWidth="1"/>
    <col min="7686" max="7686" width="10.66015625" style="54" customWidth="1"/>
    <col min="7687" max="7936" width="9.33203125" style="54" customWidth="1"/>
    <col min="7937" max="7937" width="55.33203125" style="54" customWidth="1"/>
    <col min="7938" max="7938" width="8" style="54" customWidth="1"/>
    <col min="7939" max="7939" width="9.83203125" style="54" customWidth="1"/>
    <col min="7940" max="7940" width="11.33203125" style="54" customWidth="1"/>
    <col min="7941" max="7941" width="17.66015625" style="54" customWidth="1"/>
    <col min="7942" max="7942" width="10.66015625" style="54" customWidth="1"/>
    <col min="7943" max="8192" width="9.33203125" style="54" customWidth="1"/>
    <col min="8193" max="8193" width="55.33203125" style="54" customWidth="1"/>
    <col min="8194" max="8194" width="8" style="54" customWidth="1"/>
    <col min="8195" max="8195" width="9.83203125" style="54" customWidth="1"/>
    <col min="8196" max="8196" width="11.33203125" style="54" customWidth="1"/>
    <col min="8197" max="8197" width="17.66015625" style="54" customWidth="1"/>
    <col min="8198" max="8198" width="10.66015625" style="54" customWidth="1"/>
    <col min="8199" max="8448" width="9.33203125" style="54" customWidth="1"/>
    <col min="8449" max="8449" width="55.33203125" style="54" customWidth="1"/>
    <col min="8450" max="8450" width="8" style="54" customWidth="1"/>
    <col min="8451" max="8451" width="9.83203125" style="54" customWidth="1"/>
    <col min="8452" max="8452" width="11.33203125" style="54" customWidth="1"/>
    <col min="8453" max="8453" width="17.66015625" style="54" customWidth="1"/>
    <col min="8454" max="8454" width="10.66015625" style="54" customWidth="1"/>
    <col min="8455" max="8704" width="9.33203125" style="54" customWidth="1"/>
    <col min="8705" max="8705" width="55.33203125" style="54" customWidth="1"/>
    <col min="8706" max="8706" width="8" style="54" customWidth="1"/>
    <col min="8707" max="8707" width="9.83203125" style="54" customWidth="1"/>
    <col min="8708" max="8708" width="11.33203125" style="54" customWidth="1"/>
    <col min="8709" max="8709" width="17.66015625" style="54" customWidth="1"/>
    <col min="8710" max="8710" width="10.66015625" style="54" customWidth="1"/>
    <col min="8711" max="8960" width="9.33203125" style="54" customWidth="1"/>
    <col min="8961" max="8961" width="55.33203125" style="54" customWidth="1"/>
    <col min="8962" max="8962" width="8" style="54" customWidth="1"/>
    <col min="8963" max="8963" width="9.83203125" style="54" customWidth="1"/>
    <col min="8964" max="8964" width="11.33203125" style="54" customWidth="1"/>
    <col min="8965" max="8965" width="17.66015625" style="54" customWidth="1"/>
    <col min="8966" max="8966" width="10.66015625" style="54" customWidth="1"/>
    <col min="8967" max="9216" width="9.33203125" style="54" customWidth="1"/>
    <col min="9217" max="9217" width="55.33203125" style="54" customWidth="1"/>
    <col min="9218" max="9218" width="8" style="54" customWidth="1"/>
    <col min="9219" max="9219" width="9.83203125" style="54" customWidth="1"/>
    <col min="9220" max="9220" width="11.33203125" style="54" customWidth="1"/>
    <col min="9221" max="9221" width="17.66015625" style="54" customWidth="1"/>
    <col min="9222" max="9222" width="10.66015625" style="54" customWidth="1"/>
    <col min="9223" max="9472" width="9.33203125" style="54" customWidth="1"/>
    <col min="9473" max="9473" width="55.33203125" style="54" customWidth="1"/>
    <col min="9474" max="9474" width="8" style="54" customWidth="1"/>
    <col min="9475" max="9475" width="9.83203125" style="54" customWidth="1"/>
    <col min="9476" max="9476" width="11.33203125" style="54" customWidth="1"/>
    <col min="9477" max="9477" width="17.66015625" style="54" customWidth="1"/>
    <col min="9478" max="9478" width="10.66015625" style="54" customWidth="1"/>
    <col min="9479" max="9728" width="9.33203125" style="54" customWidth="1"/>
    <col min="9729" max="9729" width="55.33203125" style="54" customWidth="1"/>
    <col min="9730" max="9730" width="8" style="54" customWidth="1"/>
    <col min="9731" max="9731" width="9.83203125" style="54" customWidth="1"/>
    <col min="9732" max="9732" width="11.33203125" style="54" customWidth="1"/>
    <col min="9733" max="9733" width="17.66015625" style="54" customWidth="1"/>
    <col min="9734" max="9734" width="10.66015625" style="54" customWidth="1"/>
    <col min="9735" max="9984" width="9.33203125" style="54" customWidth="1"/>
    <col min="9985" max="9985" width="55.33203125" style="54" customWidth="1"/>
    <col min="9986" max="9986" width="8" style="54" customWidth="1"/>
    <col min="9987" max="9987" width="9.83203125" style="54" customWidth="1"/>
    <col min="9988" max="9988" width="11.33203125" style="54" customWidth="1"/>
    <col min="9989" max="9989" width="17.66015625" style="54" customWidth="1"/>
    <col min="9990" max="9990" width="10.66015625" style="54" customWidth="1"/>
    <col min="9991" max="10240" width="9.33203125" style="54" customWidth="1"/>
    <col min="10241" max="10241" width="55.33203125" style="54" customWidth="1"/>
    <col min="10242" max="10242" width="8" style="54" customWidth="1"/>
    <col min="10243" max="10243" width="9.83203125" style="54" customWidth="1"/>
    <col min="10244" max="10244" width="11.33203125" style="54" customWidth="1"/>
    <col min="10245" max="10245" width="17.66015625" style="54" customWidth="1"/>
    <col min="10246" max="10246" width="10.66015625" style="54" customWidth="1"/>
    <col min="10247" max="10496" width="9.33203125" style="54" customWidth="1"/>
    <col min="10497" max="10497" width="55.33203125" style="54" customWidth="1"/>
    <col min="10498" max="10498" width="8" style="54" customWidth="1"/>
    <col min="10499" max="10499" width="9.83203125" style="54" customWidth="1"/>
    <col min="10500" max="10500" width="11.33203125" style="54" customWidth="1"/>
    <col min="10501" max="10501" width="17.66015625" style="54" customWidth="1"/>
    <col min="10502" max="10502" width="10.66015625" style="54" customWidth="1"/>
    <col min="10503" max="10752" width="9.33203125" style="54" customWidth="1"/>
    <col min="10753" max="10753" width="55.33203125" style="54" customWidth="1"/>
    <col min="10754" max="10754" width="8" style="54" customWidth="1"/>
    <col min="10755" max="10755" width="9.83203125" style="54" customWidth="1"/>
    <col min="10756" max="10756" width="11.33203125" style="54" customWidth="1"/>
    <col min="10757" max="10757" width="17.66015625" style="54" customWidth="1"/>
    <col min="10758" max="10758" width="10.66015625" style="54" customWidth="1"/>
    <col min="10759" max="11008" width="9.33203125" style="54" customWidth="1"/>
    <col min="11009" max="11009" width="55.33203125" style="54" customWidth="1"/>
    <col min="11010" max="11010" width="8" style="54" customWidth="1"/>
    <col min="11011" max="11011" width="9.83203125" style="54" customWidth="1"/>
    <col min="11012" max="11012" width="11.33203125" style="54" customWidth="1"/>
    <col min="11013" max="11013" width="17.66015625" style="54" customWidth="1"/>
    <col min="11014" max="11014" width="10.66015625" style="54" customWidth="1"/>
    <col min="11015" max="11264" width="9.33203125" style="54" customWidth="1"/>
    <col min="11265" max="11265" width="55.33203125" style="54" customWidth="1"/>
    <col min="11266" max="11266" width="8" style="54" customWidth="1"/>
    <col min="11267" max="11267" width="9.83203125" style="54" customWidth="1"/>
    <col min="11268" max="11268" width="11.33203125" style="54" customWidth="1"/>
    <col min="11269" max="11269" width="17.66015625" style="54" customWidth="1"/>
    <col min="11270" max="11270" width="10.66015625" style="54" customWidth="1"/>
    <col min="11271" max="11520" width="9.33203125" style="54" customWidth="1"/>
    <col min="11521" max="11521" width="55.33203125" style="54" customWidth="1"/>
    <col min="11522" max="11522" width="8" style="54" customWidth="1"/>
    <col min="11523" max="11523" width="9.83203125" style="54" customWidth="1"/>
    <col min="11524" max="11524" width="11.33203125" style="54" customWidth="1"/>
    <col min="11525" max="11525" width="17.66015625" style="54" customWidth="1"/>
    <col min="11526" max="11526" width="10.66015625" style="54" customWidth="1"/>
    <col min="11527" max="11776" width="9.33203125" style="54" customWidth="1"/>
    <col min="11777" max="11777" width="55.33203125" style="54" customWidth="1"/>
    <col min="11778" max="11778" width="8" style="54" customWidth="1"/>
    <col min="11779" max="11779" width="9.83203125" style="54" customWidth="1"/>
    <col min="11780" max="11780" width="11.33203125" style="54" customWidth="1"/>
    <col min="11781" max="11781" width="17.66015625" style="54" customWidth="1"/>
    <col min="11782" max="11782" width="10.66015625" style="54" customWidth="1"/>
    <col min="11783" max="12032" width="9.33203125" style="54" customWidth="1"/>
    <col min="12033" max="12033" width="55.33203125" style="54" customWidth="1"/>
    <col min="12034" max="12034" width="8" style="54" customWidth="1"/>
    <col min="12035" max="12035" width="9.83203125" style="54" customWidth="1"/>
    <col min="12036" max="12036" width="11.33203125" style="54" customWidth="1"/>
    <col min="12037" max="12037" width="17.66015625" style="54" customWidth="1"/>
    <col min="12038" max="12038" width="10.66015625" style="54" customWidth="1"/>
    <col min="12039" max="12288" width="9.33203125" style="54" customWidth="1"/>
    <col min="12289" max="12289" width="55.33203125" style="54" customWidth="1"/>
    <col min="12290" max="12290" width="8" style="54" customWidth="1"/>
    <col min="12291" max="12291" width="9.83203125" style="54" customWidth="1"/>
    <col min="12292" max="12292" width="11.33203125" style="54" customWidth="1"/>
    <col min="12293" max="12293" width="17.66015625" style="54" customWidth="1"/>
    <col min="12294" max="12294" width="10.66015625" style="54" customWidth="1"/>
    <col min="12295" max="12544" width="9.33203125" style="54" customWidth="1"/>
    <col min="12545" max="12545" width="55.33203125" style="54" customWidth="1"/>
    <col min="12546" max="12546" width="8" style="54" customWidth="1"/>
    <col min="12547" max="12547" width="9.83203125" style="54" customWidth="1"/>
    <col min="12548" max="12548" width="11.33203125" style="54" customWidth="1"/>
    <col min="12549" max="12549" width="17.66015625" style="54" customWidth="1"/>
    <col min="12550" max="12550" width="10.66015625" style="54" customWidth="1"/>
    <col min="12551" max="12800" width="9.33203125" style="54" customWidth="1"/>
    <col min="12801" max="12801" width="55.33203125" style="54" customWidth="1"/>
    <col min="12802" max="12802" width="8" style="54" customWidth="1"/>
    <col min="12803" max="12803" width="9.83203125" style="54" customWidth="1"/>
    <col min="12804" max="12804" width="11.33203125" style="54" customWidth="1"/>
    <col min="12805" max="12805" width="17.66015625" style="54" customWidth="1"/>
    <col min="12806" max="12806" width="10.66015625" style="54" customWidth="1"/>
    <col min="12807" max="13056" width="9.33203125" style="54" customWidth="1"/>
    <col min="13057" max="13057" width="55.33203125" style="54" customWidth="1"/>
    <col min="13058" max="13058" width="8" style="54" customWidth="1"/>
    <col min="13059" max="13059" width="9.83203125" style="54" customWidth="1"/>
    <col min="13060" max="13060" width="11.33203125" style="54" customWidth="1"/>
    <col min="13061" max="13061" width="17.66015625" style="54" customWidth="1"/>
    <col min="13062" max="13062" width="10.66015625" style="54" customWidth="1"/>
    <col min="13063" max="13312" width="9.33203125" style="54" customWidth="1"/>
    <col min="13313" max="13313" width="55.33203125" style="54" customWidth="1"/>
    <col min="13314" max="13314" width="8" style="54" customWidth="1"/>
    <col min="13315" max="13315" width="9.83203125" style="54" customWidth="1"/>
    <col min="13316" max="13316" width="11.33203125" style="54" customWidth="1"/>
    <col min="13317" max="13317" width="17.66015625" style="54" customWidth="1"/>
    <col min="13318" max="13318" width="10.66015625" style="54" customWidth="1"/>
    <col min="13319" max="13568" width="9.33203125" style="54" customWidth="1"/>
    <col min="13569" max="13569" width="55.33203125" style="54" customWidth="1"/>
    <col min="13570" max="13570" width="8" style="54" customWidth="1"/>
    <col min="13571" max="13571" width="9.83203125" style="54" customWidth="1"/>
    <col min="13572" max="13572" width="11.33203125" style="54" customWidth="1"/>
    <col min="13573" max="13573" width="17.66015625" style="54" customWidth="1"/>
    <col min="13574" max="13574" width="10.66015625" style="54" customWidth="1"/>
    <col min="13575" max="13824" width="9.33203125" style="54" customWidth="1"/>
    <col min="13825" max="13825" width="55.33203125" style="54" customWidth="1"/>
    <col min="13826" max="13826" width="8" style="54" customWidth="1"/>
    <col min="13827" max="13827" width="9.83203125" style="54" customWidth="1"/>
    <col min="13828" max="13828" width="11.33203125" style="54" customWidth="1"/>
    <col min="13829" max="13829" width="17.66015625" style="54" customWidth="1"/>
    <col min="13830" max="13830" width="10.66015625" style="54" customWidth="1"/>
    <col min="13831" max="14080" width="9.33203125" style="54" customWidth="1"/>
    <col min="14081" max="14081" width="55.33203125" style="54" customWidth="1"/>
    <col min="14082" max="14082" width="8" style="54" customWidth="1"/>
    <col min="14083" max="14083" width="9.83203125" style="54" customWidth="1"/>
    <col min="14084" max="14084" width="11.33203125" style="54" customWidth="1"/>
    <col min="14085" max="14085" width="17.66015625" style="54" customWidth="1"/>
    <col min="14086" max="14086" width="10.66015625" style="54" customWidth="1"/>
    <col min="14087" max="14336" width="9.33203125" style="54" customWidth="1"/>
    <col min="14337" max="14337" width="55.33203125" style="54" customWidth="1"/>
    <col min="14338" max="14338" width="8" style="54" customWidth="1"/>
    <col min="14339" max="14339" width="9.83203125" style="54" customWidth="1"/>
    <col min="14340" max="14340" width="11.33203125" style="54" customWidth="1"/>
    <col min="14341" max="14341" width="17.66015625" style="54" customWidth="1"/>
    <col min="14342" max="14342" width="10.66015625" style="54" customWidth="1"/>
    <col min="14343" max="14592" width="9.33203125" style="54" customWidth="1"/>
    <col min="14593" max="14593" width="55.33203125" style="54" customWidth="1"/>
    <col min="14594" max="14594" width="8" style="54" customWidth="1"/>
    <col min="14595" max="14595" width="9.83203125" style="54" customWidth="1"/>
    <col min="14596" max="14596" width="11.33203125" style="54" customWidth="1"/>
    <col min="14597" max="14597" width="17.66015625" style="54" customWidth="1"/>
    <col min="14598" max="14598" width="10.66015625" style="54" customWidth="1"/>
    <col min="14599" max="14848" width="9.33203125" style="54" customWidth="1"/>
    <col min="14849" max="14849" width="55.33203125" style="54" customWidth="1"/>
    <col min="14850" max="14850" width="8" style="54" customWidth="1"/>
    <col min="14851" max="14851" width="9.83203125" style="54" customWidth="1"/>
    <col min="14852" max="14852" width="11.33203125" style="54" customWidth="1"/>
    <col min="14853" max="14853" width="17.66015625" style="54" customWidth="1"/>
    <col min="14854" max="14854" width="10.66015625" style="54" customWidth="1"/>
    <col min="14855" max="15104" width="9.33203125" style="54" customWidth="1"/>
    <col min="15105" max="15105" width="55.33203125" style="54" customWidth="1"/>
    <col min="15106" max="15106" width="8" style="54" customWidth="1"/>
    <col min="15107" max="15107" width="9.83203125" style="54" customWidth="1"/>
    <col min="15108" max="15108" width="11.33203125" style="54" customWidth="1"/>
    <col min="15109" max="15109" width="17.66015625" style="54" customWidth="1"/>
    <col min="15110" max="15110" width="10.66015625" style="54" customWidth="1"/>
    <col min="15111" max="15360" width="9.33203125" style="54" customWidth="1"/>
    <col min="15361" max="15361" width="55.33203125" style="54" customWidth="1"/>
    <col min="15362" max="15362" width="8" style="54" customWidth="1"/>
    <col min="15363" max="15363" width="9.83203125" style="54" customWidth="1"/>
    <col min="15364" max="15364" width="11.33203125" style="54" customWidth="1"/>
    <col min="15365" max="15365" width="17.66015625" style="54" customWidth="1"/>
    <col min="15366" max="15366" width="10.66015625" style="54" customWidth="1"/>
    <col min="15367" max="15616" width="9.33203125" style="54" customWidth="1"/>
    <col min="15617" max="15617" width="55.33203125" style="54" customWidth="1"/>
    <col min="15618" max="15618" width="8" style="54" customWidth="1"/>
    <col min="15619" max="15619" width="9.83203125" style="54" customWidth="1"/>
    <col min="15620" max="15620" width="11.33203125" style="54" customWidth="1"/>
    <col min="15621" max="15621" width="17.66015625" style="54" customWidth="1"/>
    <col min="15622" max="15622" width="10.66015625" style="54" customWidth="1"/>
    <col min="15623" max="15872" width="9.33203125" style="54" customWidth="1"/>
    <col min="15873" max="15873" width="55.33203125" style="54" customWidth="1"/>
    <col min="15874" max="15874" width="8" style="54" customWidth="1"/>
    <col min="15875" max="15875" width="9.83203125" style="54" customWidth="1"/>
    <col min="15876" max="15876" width="11.33203125" style="54" customWidth="1"/>
    <col min="15877" max="15877" width="17.66015625" style="54" customWidth="1"/>
    <col min="15878" max="15878" width="10.66015625" style="54" customWidth="1"/>
    <col min="15879" max="16128" width="9.33203125" style="54" customWidth="1"/>
    <col min="16129" max="16129" width="55.33203125" style="54" customWidth="1"/>
    <col min="16130" max="16130" width="8" style="54" customWidth="1"/>
    <col min="16131" max="16131" width="9.83203125" style="54" customWidth="1"/>
    <col min="16132" max="16132" width="11.33203125" style="54" customWidth="1"/>
    <col min="16133" max="16133" width="17.66015625" style="54" customWidth="1"/>
    <col min="16134" max="16134" width="10.66015625" style="54" customWidth="1"/>
    <col min="16135" max="16384" width="9.33203125" style="54" customWidth="1"/>
  </cols>
  <sheetData>
    <row r="1" spans="1:6" s="51" customFormat="1" ht="15.75" customHeight="1">
      <c r="A1" s="75" t="s">
        <v>3</v>
      </c>
      <c r="B1" s="692" t="str">
        <f>Rekapitulace!K4</f>
        <v>Stavební úpravy, vestavba a přístavba stávajícího objektu</v>
      </c>
      <c r="C1" s="692"/>
      <c r="D1" s="692"/>
      <c r="E1" s="692"/>
      <c r="F1" s="693"/>
    </row>
    <row r="2" spans="1:6" ht="12.75" customHeight="1">
      <c r="A2" s="689"/>
      <c r="B2" s="690"/>
      <c r="C2" s="690"/>
      <c r="D2" s="690"/>
      <c r="E2" s="690"/>
      <c r="F2" s="691"/>
    </row>
    <row r="3" spans="1:6" ht="27" customHeight="1">
      <c r="A3" s="559" t="s">
        <v>127</v>
      </c>
      <c r="B3" s="560" t="str">
        <f>Rekapitulace!E24</f>
        <v>REV01</v>
      </c>
      <c r="C3" s="561">
        <f>Rekapitulace!H24</f>
        <v>45104</v>
      </c>
      <c r="D3" s="718" t="str">
        <f>Rekapitulace!K24</f>
        <v>Úprava popisů a položek ve vyznačených listech</v>
      </c>
      <c r="E3" s="718"/>
      <c r="F3" s="719"/>
    </row>
    <row r="4" spans="1:6" ht="12.75" customHeight="1">
      <c r="A4" s="689"/>
      <c r="B4" s="690"/>
      <c r="C4" s="690"/>
      <c r="D4" s="690"/>
      <c r="E4" s="690"/>
      <c r="F4" s="691"/>
    </row>
    <row r="5" spans="1:6" s="51" customFormat="1" ht="15.75" thickBot="1">
      <c r="A5" s="703" t="s">
        <v>536</v>
      </c>
      <c r="B5" s="704"/>
      <c r="C5" s="704"/>
      <c r="D5" s="704"/>
      <c r="E5" s="704"/>
      <c r="F5" s="705"/>
    </row>
    <row r="6" spans="1:6" s="51" customFormat="1" ht="16.5" customHeight="1" thickBot="1">
      <c r="A6" s="76" t="s">
        <v>11</v>
      </c>
      <c r="B6" s="711">
        <f>Rekapitulace!K11</f>
        <v>0</v>
      </c>
      <c r="C6" s="711"/>
      <c r="D6" s="711"/>
      <c r="E6" s="711"/>
      <c r="F6" s="712"/>
    </row>
    <row r="7" spans="1:6" s="51" customFormat="1" ht="3.75" customHeight="1">
      <c r="A7" s="706"/>
      <c r="B7" s="706"/>
      <c r="C7" s="706"/>
      <c r="D7" s="706"/>
      <c r="E7" s="706"/>
      <c r="F7" s="706"/>
    </row>
    <row r="8" spans="1:6" s="77" customFormat="1" ht="42.75" customHeight="1">
      <c r="A8" s="707" t="s">
        <v>128</v>
      </c>
      <c r="B8" s="708"/>
      <c r="C8" s="708"/>
      <c r="D8" s="708"/>
      <c r="E8" s="708"/>
      <c r="F8" s="709"/>
    </row>
    <row r="9" spans="1:6" ht="6" customHeight="1">
      <c r="A9" s="710"/>
      <c r="B9" s="710"/>
      <c r="C9" s="710"/>
      <c r="D9" s="710"/>
      <c r="E9" s="710"/>
      <c r="F9" s="710"/>
    </row>
    <row r="10" spans="1:6" s="79" customFormat="1" ht="22.5">
      <c r="A10" s="78" t="s">
        <v>129</v>
      </c>
      <c r="B10" s="78" t="s">
        <v>130</v>
      </c>
      <c r="C10" s="108" t="s">
        <v>131</v>
      </c>
      <c r="D10" s="109" t="s">
        <v>132</v>
      </c>
      <c r="E10" s="110" t="s">
        <v>133</v>
      </c>
      <c r="F10" s="111" t="s">
        <v>134</v>
      </c>
    </row>
    <row r="11" spans="1:6" ht="5.25" customHeight="1" thickBot="1">
      <c r="A11" s="80"/>
      <c r="B11" s="81"/>
      <c r="C11" s="112"/>
      <c r="D11" s="87"/>
      <c r="E11" s="113"/>
      <c r="F11" s="114"/>
    </row>
    <row r="12" spans="1:6" ht="17.45" customHeight="1" thickBot="1">
      <c r="A12" s="694" t="s">
        <v>135</v>
      </c>
      <c r="B12" s="695"/>
      <c r="C12" s="695"/>
      <c r="D12" s="695"/>
      <c r="E12" s="695"/>
      <c r="F12" s="696"/>
    </row>
    <row r="13" spans="1:6" ht="13.5" thickBot="1">
      <c r="A13" s="90" t="s">
        <v>537</v>
      </c>
      <c r="B13" s="115"/>
      <c r="C13" s="116"/>
      <c r="D13" s="188"/>
      <c r="E13" s="117">
        <f>SUM(E14:E15)</f>
        <v>0</v>
      </c>
      <c r="F13" s="83" t="s">
        <v>136</v>
      </c>
    </row>
    <row r="14" spans="1:6" ht="13.5">
      <c r="A14" s="222" t="s">
        <v>538</v>
      </c>
      <c r="B14" s="218" t="s">
        <v>83</v>
      </c>
      <c r="C14" s="219">
        <v>1</v>
      </c>
      <c r="D14" s="223"/>
      <c r="E14" s="221">
        <f>D14*C14</f>
        <v>0</v>
      </c>
      <c r="F14" s="85"/>
    </row>
    <row r="15" spans="1:6" ht="4.5" customHeight="1" thickBot="1">
      <c r="A15" s="246"/>
      <c r="B15" s="245"/>
      <c r="C15" s="118"/>
      <c r="D15" s="424"/>
      <c r="E15" s="87"/>
      <c r="F15" s="88"/>
    </row>
    <row r="16" spans="1:6" ht="13.5" thickBot="1">
      <c r="A16" s="90" t="s">
        <v>539</v>
      </c>
      <c r="B16" s="120"/>
      <c r="C16" s="121"/>
      <c r="D16" s="425"/>
      <c r="E16" s="117">
        <f>SUM(E17:E19)</f>
        <v>0</v>
      </c>
      <c r="F16" s="83" t="s">
        <v>136</v>
      </c>
    </row>
    <row r="17" spans="1:6" ht="13.5">
      <c r="A17" s="222" t="s">
        <v>540</v>
      </c>
      <c r="B17" s="218" t="s">
        <v>69</v>
      </c>
      <c r="C17" s="219">
        <v>2</v>
      </c>
      <c r="D17" s="223"/>
      <c r="E17" s="221">
        <f>D17*C17</f>
        <v>0</v>
      </c>
      <c r="F17" s="85"/>
    </row>
    <row r="18" spans="1:6" ht="13.5">
      <c r="A18" s="222" t="s">
        <v>541</v>
      </c>
      <c r="B18" s="218" t="s">
        <v>69</v>
      </c>
      <c r="C18" s="219">
        <f>SUM(C17:C17)</f>
        <v>2</v>
      </c>
      <c r="D18" s="223"/>
      <c r="E18" s="221">
        <f>D18*C18</f>
        <v>0</v>
      </c>
      <c r="F18" s="85"/>
    </row>
    <row r="19" spans="1:6" ht="13.5">
      <c r="A19" s="222" t="s">
        <v>290</v>
      </c>
      <c r="B19" s="218" t="s">
        <v>69</v>
      </c>
      <c r="C19" s="219">
        <f>C18</f>
        <v>2</v>
      </c>
      <c r="D19" s="223"/>
      <c r="E19" s="221">
        <f>D19*C19</f>
        <v>0</v>
      </c>
      <c r="F19" s="85"/>
    </row>
    <row r="20" spans="1:6" ht="6" customHeight="1" thickBot="1">
      <c r="A20" s="89"/>
      <c r="B20" s="122"/>
      <c r="C20" s="123"/>
      <c r="D20" s="424"/>
      <c r="E20" s="87"/>
      <c r="F20" s="88"/>
    </row>
    <row r="21" spans="1:6" ht="13.5" thickBot="1">
      <c r="A21" s="90" t="s">
        <v>1322</v>
      </c>
      <c r="B21" s="120"/>
      <c r="C21" s="121"/>
      <c r="D21" s="425"/>
      <c r="E21" s="117">
        <f>SUM(E22:E23)</f>
        <v>0</v>
      </c>
      <c r="F21" s="83" t="s">
        <v>136</v>
      </c>
    </row>
    <row r="22" spans="1:6" ht="13.5">
      <c r="A22" s="222" t="s">
        <v>1323</v>
      </c>
      <c r="B22" s="218" t="s">
        <v>83</v>
      </c>
      <c r="C22" s="219">
        <v>84</v>
      </c>
      <c r="D22" s="223"/>
      <c r="E22" s="221">
        <f>D22*C22</f>
        <v>0</v>
      </c>
      <c r="F22" s="85"/>
    </row>
    <row r="23" spans="1:6" ht="13.5">
      <c r="A23" s="222" t="s">
        <v>1324</v>
      </c>
      <c r="B23" s="218" t="s">
        <v>83</v>
      </c>
      <c r="C23" s="219">
        <v>84</v>
      </c>
      <c r="D23" s="223"/>
      <c r="E23" s="221">
        <f>D23*C23</f>
        <v>0</v>
      </c>
      <c r="F23" s="85"/>
    </row>
    <row r="24" spans="1:6" ht="6" customHeight="1" thickBot="1">
      <c r="A24" s="89"/>
      <c r="B24" s="122"/>
      <c r="C24" s="123"/>
      <c r="D24" s="424"/>
      <c r="E24" s="87"/>
      <c r="F24" s="88"/>
    </row>
    <row r="25" spans="1:6" ht="13.5" thickBot="1">
      <c r="A25" s="90" t="s">
        <v>1325</v>
      </c>
      <c r="B25" s="120"/>
      <c r="C25" s="121"/>
      <c r="D25" s="425"/>
      <c r="E25" s="117">
        <f>SUM(E26:E28)</f>
        <v>0</v>
      </c>
      <c r="F25" s="83" t="s">
        <v>136</v>
      </c>
    </row>
    <row r="26" spans="1:6" ht="13.5">
      <c r="A26" s="222" t="s">
        <v>1326</v>
      </c>
      <c r="B26" s="218" t="s">
        <v>69</v>
      </c>
      <c r="C26" s="219">
        <v>2</v>
      </c>
      <c r="D26" s="223"/>
      <c r="E26" s="221">
        <f>D26*C26</f>
        <v>0</v>
      </c>
      <c r="F26" s="85"/>
    </row>
    <row r="27" spans="1:6" ht="13.5">
      <c r="A27" s="222" t="s">
        <v>1327</v>
      </c>
      <c r="B27" s="218" t="s">
        <v>69</v>
      </c>
      <c r="C27" s="219">
        <f>SUM(C26:C26)</f>
        <v>2</v>
      </c>
      <c r="D27" s="223"/>
      <c r="E27" s="221">
        <f>D27*C27</f>
        <v>0</v>
      </c>
      <c r="F27" s="85"/>
    </row>
    <row r="28" spans="1:6" ht="13.5">
      <c r="A28" s="222" t="s">
        <v>1328</v>
      </c>
      <c r="B28" s="218" t="s">
        <v>69</v>
      </c>
      <c r="C28" s="219">
        <f>C27</f>
        <v>2</v>
      </c>
      <c r="D28" s="223"/>
      <c r="E28" s="221">
        <f>D28*C28</f>
        <v>0</v>
      </c>
      <c r="F28" s="85"/>
    </row>
    <row r="29" spans="1:6" ht="6" customHeight="1" thickBot="1">
      <c r="A29" s="89"/>
      <c r="B29" s="122"/>
      <c r="C29" s="123"/>
      <c r="D29" s="424"/>
      <c r="E29" s="87"/>
      <c r="F29" s="88"/>
    </row>
    <row r="30" spans="1:6" ht="26.25" thickBot="1">
      <c r="A30" s="565" t="s">
        <v>2459</v>
      </c>
      <c r="B30" s="120"/>
      <c r="C30" s="121"/>
      <c r="D30" s="425"/>
      <c r="E30" s="117">
        <f>SUM(E31:E32)</f>
        <v>0</v>
      </c>
      <c r="F30" s="83" t="s">
        <v>136</v>
      </c>
    </row>
    <row r="31" spans="1:6" ht="13.5">
      <c r="A31" s="222" t="s">
        <v>1330</v>
      </c>
      <c r="B31" s="218" t="s">
        <v>69</v>
      </c>
      <c r="C31" s="219">
        <v>2</v>
      </c>
      <c r="D31" s="223"/>
      <c r="E31" s="221">
        <f>D31*C31</f>
        <v>0</v>
      </c>
      <c r="F31" s="85"/>
    </row>
    <row r="32" spans="1:6" ht="13.5">
      <c r="A32" s="222" t="s">
        <v>1331</v>
      </c>
      <c r="B32" s="218" t="s">
        <v>69</v>
      </c>
      <c r="C32" s="219">
        <v>2</v>
      </c>
      <c r="D32" s="223"/>
      <c r="E32" s="221">
        <f>D32*C32</f>
        <v>0</v>
      </c>
      <c r="F32" s="85"/>
    </row>
    <row r="33" spans="1:6" ht="4.5" customHeight="1" thickBot="1">
      <c r="A33" s="246"/>
      <c r="B33" s="245"/>
      <c r="C33" s="118"/>
      <c r="D33" s="424"/>
      <c r="E33" s="87"/>
      <c r="F33" s="88"/>
    </row>
    <row r="34" spans="1:6" ht="13.5" thickBot="1">
      <c r="A34" s="90" t="s">
        <v>1329</v>
      </c>
      <c r="B34" s="115"/>
      <c r="C34" s="116"/>
      <c r="D34" s="188"/>
      <c r="E34" s="117">
        <f>SUM(E35:E41)</f>
        <v>0</v>
      </c>
      <c r="F34" s="83" t="s">
        <v>136</v>
      </c>
    </row>
    <row r="35" spans="1:6" ht="13.5">
      <c r="A35" s="222" t="s">
        <v>542</v>
      </c>
      <c r="B35" s="218" t="s">
        <v>69</v>
      </c>
      <c r="C35" s="219">
        <v>8</v>
      </c>
      <c r="D35" s="223"/>
      <c r="E35" s="221">
        <f aca="true" t="shared" si="0" ref="E35:E41">D35*C35</f>
        <v>0</v>
      </c>
      <c r="F35" s="85"/>
    </row>
    <row r="36" spans="1:6" ht="13.5">
      <c r="A36" s="222" t="s">
        <v>513</v>
      </c>
      <c r="B36" s="218" t="s">
        <v>69</v>
      </c>
      <c r="C36" s="219">
        <v>1</v>
      </c>
      <c r="D36" s="223"/>
      <c r="E36" s="221">
        <f t="shared" si="0"/>
        <v>0</v>
      </c>
      <c r="F36" s="85"/>
    </row>
    <row r="37" spans="1:6" ht="13.5">
      <c r="A37" s="222" t="s">
        <v>514</v>
      </c>
      <c r="B37" s="218" t="s">
        <v>72</v>
      </c>
      <c r="C37" s="219">
        <f>SUM(E13:E33)/2</f>
        <v>0</v>
      </c>
      <c r="D37" s="316"/>
      <c r="E37" s="221">
        <f t="shared" si="0"/>
        <v>0</v>
      </c>
      <c r="F37" s="85"/>
    </row>
    <row r="38" spans="1:6" ht="13.5">
      <c r="A38" s="222" t="s">
        <v>515</v>
      </c>
      <c r="B38" s="218" t="s">
        <v>83</v>
      </c>
      <c r="C38" s="219">
        <f>C14+C22</f>
        <v>85</v>
      </c>
      <c r="D38" s="223"/>
      <c r="E38" s="221">
        <f t="shared" si="0"/>
        <v>0</v>
      </c>
      <c r="F38" s="85"/>
    </row>
    <row r="39" spans="1:6" ht="13.5">
      <c r="A39" s="222" t="s">
        <v>543</v>
      </c>
      <c r="B39" s="218" t="s">
        <v>69</v>
      </c>
      <c r="C39" s="219">
        <v>1</v>
      </c>
      <c r="D39" s="223"/>
      <c r="E39" s="221">
        <f t="shared" si="0"/>
        <v>0</v>
      </c>
      <c r="F39" s="85"/>
    </row>
    <row r="40" spans="1:6" ht="13.5">
      <c r="A40" s="222" t="s">
        <v>517</v>
      </c>
      <c r="B40" s="218" t="s">
        <v>69</v>
      </c>
      <c r="C40" s="219">
        <v>1</v>
      </c>
      <c r="D40" s="223"/>
      <c r="E40" s="221">
        <f t="shared" si="0"/>
        <v>0</v>
      </c>
      <c r="F40" s="85"/>
    </row>
    <row r="41" spans="1:6" ht="13.5">
      <c r="A41" s="222" t="s">
        <v>518</v>
      </c>
      <c r="B41" s="218" t="s">
        <v>519</v>
      </c>
      <c r="C41" s="219">
        <v>4</v>
      </c>
      <c r="D41" s="223"/>
      <c r="E41" s="221">
        <f t="shared" si="0"/>
        <v>0</v>
      </c>
      <c r="F41" s="85"/>
    </row>
    <row r="42" spans="1:6" ht="6" customHeight="1" thickBot="1">
      <c r="A42" s="89"/>
      <c r="B42" s="122"/>
      <c r="C42" s="123"/>
      <c r="D42" s="424"/>
      <c r="E42" s="87"/>
      <c r="F42" s="88"/>
    </row>
    <row r="43" spans="1:8" ht="16.9" customHeight="1" thickBot="1">
      <c r="A43" s="124" t="s">
        <v>214</v>
      </c>
      <c r="B43" s="93"/>
      <c r="C43" s="125"/>
      <c r="D43" s="94"/>
      <c r="E43" s="95">
        <f>SUM(E12:E42)/2</f>
        <v>0</v>
      </c>
      <c r="F43" s="126" t="s">
        <v>136</v>
      </c>
      <c r="H43" s="127">
        <f>SUM(E13:E43)/3</f>
        <v>0</v>
      </c>
    </row>
    <row r="44" spans="1:6" ht="13.5">
      <c r="A44" s="86"/>
      <c r="B44" s="91"/>
      <c r="C44" s="92"/>
      <c r="D44" s="82"/>
      <c r="E44" s="82"/>
      <c r="F44" s="96"/>
    </row>
    <row r="45" spans="1:7" ht="13.5">
      <c r="A45" s="714" t="s">
        <v>137</v>
      </c>
      <c r="B45" s="714"/>
      <c r="C45" s="714"/>
      <c r="D45" s="714"/>
      <c r="E45" s="714"/>
      <c r="F45" s="714"/>
      <c r="G45" s="102"/>
    </row>
    <row r="46" spans="1:7" ht="4.9" customHeight="1">
      <c r="A46" s="97"/>
      <c r="B46" s="98"/>
      <c r="C46" s="99"/>
      <c r="D46" s="100"/>
      <c r="E46" s="101"/>
      <c r="F46" s="102"/>
      <c r="G46" s="102"/>
    </row>
    <row r="47" spans="1:7" ht="13.5">
      <c r="A47" s="713" t="s">
        <v>138</v>
      </c>
      <c r="B47" s="713"/>
      <c r="C47" s="713"/>
      <c r="D47" s="713"/>
      <c r="E47" s="713"/>
      <c r="F47" s="713"/>
      <c r="G47" s="102"/>
    </row>
    <row r="48" spans="1:7" ht="13.5">
      <c r="A48" s="713" t="s">
        <v>139</v>
      </c>
      <c r="B48" s="713"/>
      <c r="C48" s="713"/>
      <c r="D48" s="713"/>
      <c r="E48" s="713"/>
      <c r="F48" s="713"/>
      <c r="G48" s="102"/>
    </row>
    <row r="49" spans="1:7" ht="13.5">
      <c r="A49" s="713" t="s">
        <v>140</v>
      </c>
      <c r="B49" s="713"/>
      <c r="C49" s="713"/>
      <c r="D49" s="713"/>
      <c r="E49" s="713"/>
      <c r="F49" s="713"/>
      <c r="G49" s="102"/>
    </row>
    <row r="50" spans="1:7" ht="7.9" customHeight="1">
      <c r="A50" s="97"/>
      <c r="B50" s="98"/>
      <c r="C50" s="99"/>
      <c r="D50" s="100"/>
      <c r="E50" s="101"/>
      <c r="F50" s="102"/>
      <c r="G50" s="102"/>
    </row>
    <row r="51" spans="1:7" ht="33.6" customHeight="1">
      <c r="A51" s="697" t="s">
        <v>141</v>
      </c>
      <c r="B51" s="697"/>
      <c r="C51" s="697"/>
      <c r="D51" s="697"/>
      <c r="E51" s="697"/>
      <c r="F51" s="697"/>
      <c r="G51" s="84"/>
    </row>
    <row r="52" spans="1:7" ht="6.75" customHeight="1">
      <c r="A52" s="97"/>
      <c r="B52" s="98"/>
      <c r="C52" s="99"/>
      <c r="D52" s="100"/>
      <c r="E52" s="101"/>
      <c r="F52" s="102"/>
      <c r="G52" s="102"/>
    </row>
    <row r="53" spans="1:7" ht="69.75" customHeight="1">
      <c r="A53" s="697" t="s">
        <v>142</v>
      </c>
      <c r="B53" s="697"/>
      <c r="C53" s="697"/>
      <c r="D53" s="697"/>
      <c r="E53" s="697"/>
      <c r="F53" s="697"/>
      <c r="G53" s="84"/>
    </row>
    <row r="54" spans="1:7" ht="5.45" customHeight="1">
      <c r="A54" s="97"/>
      <c r="B54" s="98"/>
      <c r="C54" s="99"/>
      <c r="D54" s="100"/>
      <c r="E54" s="101"/>
      <c r="F54" s="102"/>
      <c r="G54" s="102"/>
    </row>
    <row r="55" spans="1:7" ht="14.25" customHeight="1">
      <c r="A55" s="698" t="s">
        <v>143</v>
      </c>
      <c r="B55" s="698"/>
      <c r="C55" s="698"/>
      <c r="D55" s="698"/>
      <c r="E55" s="698"/>
      <c r="F55" s="698"/>
      <c r="G55" s="128"/>
    </row>
    <row r="56" spans="1:7" ht="4.15" customHeight="1">
      <c r="A56" s="97"/>
      <c r="B56" s="98"/>
      <c r="C56" s="99"/>
      <c r="D56" s="100"/>
      <c r="E56" s="101"/>
      <c r="F56" s="102"/>
      <c r="G56" s="102"/>
    </row>
    <row r="57" spans="1:7" ht="25.5" customHeight="1">
      <c r="A57" s="699" t="s">
        <v>144</v>
      </c>
      <c r="B57" s="699"/>
      <c r="C57" s="699"/>
      <c r="D57" s="699"/>
      <c r="E57" s="699"/>
      <c r="F57" s="699"/>
      <c r="G57" s="128"/>
    </row>
    <row r="58" spans="1:6" ht="3" customHeight="1">
      <c r="A58" s="86"/>
      <c r="B58" s="91"/>
      <c r="C58" s="92"/>
      <c r="D58" s="82"/>
      <c r="E58" s="82"/>
      <c r="F58" s="96"/>
    </row>
    <row r="59" spans="1:6" ht="13.5">
      <c r="A59" s="86"/>
      <c r="B59" s="91"/>
      <c r="C59" s="92"/>
      <c r="D59" s="82"/>
      <c r="E59" s="82"/>
      <c r="F59" s="96"/>
    </row>
    <row r="60" spans="1:6" ht="13.5">
      <c r="A60" s="86"/>
      <c r="B60" s="91"/>
      <c r="C60" s="92"/>
      <c r="D60" s="82"/>
      <c r="E60" s="82"/>
      <c r="F60" s="96"/>
    </row>
    <row r="61" spans="1:6" ht="13.5">
      <c r="A61" s="86"/>
      <c r="B61" s="91"/>
      <c r="C61" s="92"/>
      <c r="D61" s="82"/>
      <c r="E61" s="82"/>
      <c r="F61" s="96"/>
    </row>
    <row r="62" spans="1:6" ht="13.5">
      <c r="A62" s="86"/>
      <c r="B62" s="91"/>
      <c r="C62" s="92"/>
      <c r="D62" s="82"/>
      <c r="E62" s="82"/>
      <c r="F62" s="96"/>
    </row>
    <row r="63" spans="1:6" ht="13.5">
      <c r="A63" s="86"/>
      <c r="B63" s="91"/>
      <c r="C63" s="92"/>
      <c r="D63" s="82"/>
      <c r="E63" s="82"/>
      <c r="F63" s="96"/>
    </row>
    <row r="64" spans="1:6" ht="13.5">
      <c r="A64" s="86"/>
      <c r="B64" s="91"/>
      <c r="C64" s="92"/>
      <c r="D64" s="82"/>
      <c r="E64" s="82"/>
      <c r="F64" s="96"/>
    </row>
    <row r="65" spans="1:6" ht="13.5">
      <c r="A65" s="86"/>
      <c r="B65" s="91"/>
      <c r="C65" s="92"/>
      <c r="D65" s="82"/>
      <c r="E65" s="82"/>
      <c r="F65" s="96"/>
    </row>
    <row r="66" spans="1:6" ht="13.5">
      <c r="A66" s="86"/>
      <c r="B66" s="91"/>
      <c r="C66" s="92"/>
      <c r="D66" s="82"/>
      <c r="E66" s="82"/>
      <c r="F66" s="96"/>
    </row>
    <row r="67" spans="1:6" ht="13.5">
      <c r="A67" s="86"/>
      <c r="B67" s="91"/>
      <c r="C67" s="92"/>
      <c r="D67" s="82"/>
      <c r="E67" s="82"/>
      <c r="F67" s="96"/>
    </row>
    <row r="68" spans="1:6" ht="13.5">
      <c r="A68" s="86"/>
      <c r="B68" s="91"/>
      <c r="C68" s="92"/>
      <c r="D68" s="82"/>
      <c r="E68" s="82"/>
      <c r="F68" s="96"/>
    </row>
    <row r="69" spans="1:6" ht="13.5">
      <c r="A69" s="86"/>
      <c r="B69" s="91"/>
      <c r="C69" s="92"/>
      <c r="D69" s="82"/>
      <c r="E69" s="82"/>
      <c r="F69" s="96"/>
    </row>
    <row r="70" spans="1:6" ht="13.5">
      <c r="A70" s="86"/>
      <c r="B70" s="91"/>
      <c r="C70" s="92"/>
      <c r="D70" s="82"/>
      <c r="E70" s="82"/>
      <c r="F70" s="96"/>
    </row>
    <row r="71" spans="1:6" ht="13.5">
      <c r="A71" s="86"/>
      <c r="B71" s="91"/>
      <c r="C71" s="92"/>
      <c r="D71" s="82"/>
      <c r="E71" s="82"/>
      <c r="F71" s="96"/>
    </row>
    <row r="72" spans="1:6" ht="13.5">
      <c r="A72" s="86"/>
      <c r="B72" s="91"/>
      <c r="C72" s="92"/>
      <c r="D72" s="82"/>
      <c r="E72" s="82"/>
      <c r="F72" s="96"/>
    </row>
    <row r="73" spans="1:6" ht="13.5">
      <c r="A73" s="86"/>
      <c r="B73" s="91"/>
      <c r="C73" s="92"/>
      <c r="D73" s="82"/>
      <c r="E73" s="82"/>
      <c r="F73" s="96"/>
    </row>
    <row r="74" spans="1:6" ht="13.5">
      <c r="A74" s="86"/>
      <c r="B74" s="91"/>
      <c r="C74" s="92"/>
      <c r="D74" s="82"/>
      <c r="E74" s="82"/>
      <c r="F74" s="96"/>
    </row>
    <row r="75" spans="1:6" ht="13.5">
      <c r="A75" s="86"/>
      <c r="B75" s="91"/>
      <c r="C75" s="92"/>
      <c r="D75" s="82"/>
      <c r="E75" s="82"/>
      <c r="F75" s="96"/>
    </row>
    <row r="76" spans="1:6" ht="13.5">
      <c r="A76" s="86"/>
      <c r="B76" s="91"/>
      <c r="C76" s="92"/>
      <c r="D76" s="82"/>
      <c r="E76" s="82"/>
      <c r="F76" s="96"/>
    </row>
    <row r="77" spans="1:6" ht="13.5">
      <c r="A77" s="86"/>
      <c r="B77" s="91"/>
      <c r="C77" s="92"/>
      <c r="D77" s="82"/>
      <c r="E77" s="82"/>
      <c r="F77" s="96"/>
    </row>
    <row r="78" spans="1:6" ht="13.5">
      <c r="A78" s="86"/>
      <c r="B78" s="91"/>
      <c r="C78" s="92"/>
      <c r="D78" s="82"/>
      <c r="E78" s="82"/>
      <c r="F78" s="96"/>
    </row>
    <row r="79" spans="1:6" ht="13.5">
      <c r="A79" s="86"/>
      <c r="B79" s="91"/>
      <c r="C79" s="92"/>
      <c r="D79" s="82"/>
      <c r="E79" s="82"/>
      <c r="F79" s="96"/>
    </row>
    <row r="80" spans="1:6" ht="13.5">
      <c r="A80" s="86"/>
      <c r="B80" s="91"/>
      <c r="C80" s="92"/>
      <c r="D80" s="82"/>
      <c r="E80" s="82"/>
      <c r="F80" s="96"/>
    </row>
    <row r="81" spans="1:6" ht="13.5">
      <c r="A81" s="86"/>
      <c r="B81" s="91"/>
      <c r="C81" s="92"/>
      <c r="D81" s="82"/>
      <c r="E81" s="82"/>
      <c r="F81" s="96"/>
    </row>
    <row r="82" spans="1:6" ht="13.5">
      <c r="A82" s="86"/>
      <c r="B82" s="91"/>
      <c r="C82" s="92"/>
      <c r="D82" s="82"/>
      <c r="E82" s="82"/>
      <c r="F82" s="96"/>
    </row>
    <row r="83" spans="1:6" ht="13.5">
      <c r="A83" s="86"/>
      <c r="B83" s="91"/>
      <c r="C83" s="92"/>
      <c r="D83" s="82"/>
      <c r="E83" s="82"/>
      <c r="F83" s="96"/>
    </row>
    <row r="84" spans="1:6" ht="13.5">
      <c r="A84" s="86"/>
      <c r="B84" s="91"/>
      <c r="C84" s="92"/>
      <c r="D84" s="82"/>
      <c r="E84" s="82"/>
      <c r="F84" s="96"/>
    </row>
    <row r="85" spans="1:6" ht="13.5">
      <c r="A85" s="86"/>
      <c r="B85" s="91"/>
      <c r="C85" s="92"/>
      <c r="D85" s="82"/>
      <c r="E85" s="82"/>
      <c r="F85" s="96"/>
    </row>
    <row r="86" spans="1:6" ht="13.5">
      <c r="A86" s="86"/>
      <c r="B86" s="91"/>
      <c r="C86" s="92"/>
      <c r="D86" s="82"/>
      <c r="E86" s="82"/>
      <c r="F86" s="96"/>
    </row>
    <row r="87" spans="1:6" ht="13.5">
      <c r="A87" s="86"/>
      <c r="B87" s="91"/>
      <c r="C87" s="92"/>
      <c r="D87" s="82"/>
      <c r="E87" s="82"/>
      <c r="F87" s="96"/>
    </row>
    <row r="88" spans="1:6" ht="13.5">
      <c r="A88" s="86"/>
      <c r="B88" s="91"/>
      <c r="C88" s="92"/>
      <c r="D88" s="82"/>
      <c r="E88" s="82"/>
      <c r="F88" s="96"/>
    </row>
    <row r="89" spans="1:6" ht="13.5">
      <c r="A89" s="86"/>
      <c r="B89" s="91"/>
      <c r="C89" s="92"/>
      <c r="D89" s="82"/>
      <c r="E89" s="82"/>
      <c r="F89" s="96"/>
    </row>
    <row r="90" spans="1:6" ht="13.5">
      <c r="A90" s="86"/>
      <c r="B90" s="91"/>
      <c r="C90" s="92"/>
      <c r="D90" s="82"/>
      <c r="E90" s="82"/>
      <c r="F90" s="96"/>
    </row>
    <row r="91" spans="1:6" ht="13.5">
      <c r="A91" s="86"/>
      <c r="B91" s="91"/>
      <c r="C91" s="92"/>
      <c r="D91" s="82"/>
      <c r="E91" s="82"/>
      <c r="F91" s="96"/>
    </row>
    <row r="92" spans="1:6" ht="13.5">
      <c r="A92" s="86"/>
      <c r="B92" s="91"/>
      <c r="C92" s="92"/>
      <c r="D92" s="82"/>
      <c r="E92" s="82"/>
      <c r="F92" s="96"/>
    </row>
    <row r="93" spans="1:6" ht="13.5">
      <c r="A93" s="86"/>
      <c r="B93" s="91"/>
      <c r="C93" s="92"/>
      <c r="D93" s="82"/>
      <c r="E93" s="82"/>
      <c r="F93" s="96"/>
    </row>
    <row r="94" spans="1:6" ht="13.5">
      <c r="A94" s="86"/>
      <c r="B94" s="91"/>
      <c r="C94" s="92"/>
      <c r="D94" s="82"/>
      <c r="E94" s="82"/>
      <c r="F94" s="96"/>
    </row>
    <row r="95" spans="1:6" ht="13.5">
      <c r="A95" s="86"/>
      <c r="B95" s="91"/>
      <c r="C95" s="92"/>
      <c r="D95" s="82"/>
      <c r="E95" s="82"/>
      <c r="F95" s="96"/>
    </row>
    <row r="96" spans="1:6" ht="13.5">
      <c r="A96" s="86"/>
      <c r="B96" s="91"/>
      <c r="C96" s="92"/>
      <c r="D96" s="82"/>
      <c r="E96" s="82"/>
      <c r="F96" s="96"/>
    </row>
    <row r="97" spans="1:6" ht="13.5">
      <c r="A97" s="86"/>
      <c r="B97" s="91"/>
      <c r="C97" s="92"/>
      <c r="D97" s="82"/>
      <c r="E97" s="82"/>
      <c r="F97" s="96"/>
    </row>
    <row r="98" spans="1:6" ht="13.5">
      <c r="A98" s="86"/>
      <c r="B98" s="91"/>
      <c r="C98" s="92"/>
      <c r="D98" s="82"/>
      <c r="E98" s="82"/>
      <c r="F98" s="96"/>
    </row>
    <row r="99" spans="1:6" ht="13.5">
      <c r="A99" s="86"/>
      <c r="B99" s="91"/>
      <c r="C99" s="92"/>
      <c r="D99" s="82"/>
      <c r="E99" s="82"/>
      <c r="F99" s="96"/>
    </row>
    <row r="100" spans="1:6" ht="13.5">
      <c r="A100" s="86"/>
      <c r="B100" s="91"/>
      <c r="C100" s="92"/>
      <c r="D100" s="82"/>
      <c r="E100" s="82"/>
      <c r="F100" s="96"/>
    </row>
    <row r="101" spans="1:6" ht="13.5">
      <c r="A101" s="86"/>
      <c r="B101" s="91"/>
      <c r="C101" s="92"/>
      <c r="D101" s="82"/>
      <c r="E101" s="82"/>
      <c r="F101" s="96"/>
    </row>
    <row r="102" spans="1:6" ht="13.5">
      <c r="A102" s="86"/>
      <c r="B102" s="91"/>
      <c r="C102" s="92"/>
      <c r="D102" s="82"/>
      <c r="E102" s="82"/>
      <c r="F102" s="96"/>
    </row>
    <row r="103" spans="1:6" ht="13.5">
      <c r="A103" s="86"/>
      <c r="B103" s="91"/>
      <c r="C103" s="92"/>
      <c r="D103" s="82"/>
      <c r="E103" s="82"/>
      <c r="F103" s="96"/>
    </row>
    <row r="104" spans="1:6" ht="13.5">
      <c r="A104" s="86"/>
      <c r="B104" s="91"/>
      <c r="C104" s="92"/>
      <c r="D104" s="82"/>
      <c r="E104" s="82"/>
      <c r="F104" s="96"/>
    </row>
    <row r="105" spans="1:6" ht="13.5">
      <c r="A105" s="86"/>
      <c r="B105" s="91"/>
      <c r="C105" s="92"/>
      <c r="D105" s="82"/>
      <c r="E105" s="82"/>
      <c r="F105" s="96"/>
    </row>
    <row r="106" spans="1:6" ht="13.5">
      <c r="A106" s="86"/>
      <c r="B106" s="91"/>
      <c r="C106" s="92"/>
      <c r="D106" s="82"/>
      <c r="E106" s="82"/>
      <c r="F106" s="96"/>
    </row>
    <row r="107" spans="1:6" ht="13.5">
      <c r="A107" s="86"/>
      <c r="B107" s="91"/>
      <c r="C107" s="92"/>
      <c r="D107" s="82"/>
      <c r="E107" s="82"/>
      <c r="F107" s="96"/>
    </row>
    <row r="108" spans="1:6" ht="13.5">
      <c r="A108" s="86"/>
      <c r="B108" s="91"/>
      <c r="C108" s="92"/>
      <c r="D108" s="82"/>
      <c r="E108" s="82"/>
      <c r="F108" s="96"/>
    </row>
    <row r="109" spans="1:6" ht="13.5">
      <c r="A109" s="86"/>
      <c r="B109" s="91"/>
      <c r="C109" s="92"/>
      <c r="D109" s="82"/>
      <c r="E109" s="82"/>
      <c r="F109" s="96"/>
    </row>
    <row r="110" spans="1:6" ht="13.5">
      <c r="A110" s="86"/>
      <c r="B110" s="91"/>
      <c r="C110" s="92"/>
      <c r="D110" s="82"/>
      <c r="E110" s="82"/>
      <c r="F110" s="96"/>
    </row>
    <row r="111" spans="1:6" ht="13.5">
      <c r="A111" s="86"/>
      <c r="B111" s="91"/>
      <c r="C111" s="92"/>
      <c r="D111" s="82"/>
      <c r="E111" s="82"/>
      <c r="F111" s="96"/>
    </row>
    <row r="112" spans="1:6" ht="13.5">
      <c r="A112" s="86"/>
      <c r="B112" s="91"/>
      <c r="C112" s="92"/>
      <c r="D112" s="82"/>
      <c r="E112" s="82"/>
      <c r="F112" s="96"/>
    </row>
    <row r="113" spans="1:6" ht="13.5">
      <c r="A113" s="86"/>
      <c r="B113" s="91"/>
      <c r="C113" s="92"/>
      <c r="D113" s="82"/>
      <c r="E113" s="82"/>
      <c r="F113" s="96"/>
    </row>
    <row r="114" spans="1:6" ht="13.5">
      <c r="A114" s="86"/>
      <c r="B114" s="91"/>
      <c r="C114" s="92"/>
      <c r="D114" s="82"/>
      <c r="E114" s="82"/>
      <c r="F114" s="96"/>
    </row>
    <row r="115" spans="1:6" ht="13.5">
      <c r="A115" s="86"/>
      <c r="B115" s="91"/>
      <c r="C115" s="92"/>
      <c r="D115" s="82"/>
      <c r="E115" s="82"/>
      <c r="F115" s="96"/>
    </row>
    <row r="116" spans="1:6" ht="13.5">
      <c r="A116" s="86"/>
      <c r="B116" s="91"/>
      <c r="C116" s="92"/>
      <c r="D116" s="82"/>
      <c r="E116" s="82"/>
      <c r="F116" s="96"/>
    </row>
    <row r="117" spans="1:6" ht="13.5">
      <c r="A117" s="86"/>
      <c r="B117" s="91"/>
      <c r="C117" s="92"/>
      <c r="D117" s="82"/>
      <c r="E117" s="82"/>
      <c r="F117" s="96"/>
    </row>
    <row r="118" spans="1:6" ht="13.5">
      <c r="A118" s="86"/>
      <c r="B118" s="91"/>
      <c r="C118" s="92"/>
      <c r="D118" s="82"/>
      <c r="E118" s="82"/>
      <c r="F118" s="96"/>
    </row>
    <row r="119" spans="1:6" ht="13.5">
      <c r="A119" s="86"/>
      <c r="B119" s="91"/>
      <c r="C119" s="92"/>
      <c r="D119" s="82"/>
      <c r="E119" s="82"/>
      <c r="F119" s="96"/>
    </row>
    <row r="120" spans="1:6" ht="13.5">
      <c r="A120" s="86"/>
      <c r="B120" s="91"/>
      <c r="C120" s="92"/>
      <c r="D120" s="82"/>
      <c r="E120" s="82"/>
      <c r="F120" s="96"/>
    </row>
    <row r="121" spans="1:6" ht="13.5">
      <c r="A121" s="86"/>
      <c r="B121" s="91"/>
      <c r="C121" s="92"/>
      <c r="D121" s="82"/>
      <c r="E121" s="82"/>
      <c r="F121" s="96"/>
    </row>
    <row r="122" spans="1:6" ht="13.5">
      <c r="A122" s="86"/>
      <c r="B122" s="91"/>
      <c r="C122" s="92"/>
      <c r="D122" s="82"/>
      <c r="E122" s="82"/>
      <c r="F122" s="96"/>
    </row>
    <row r="123" spans="1:6" ht="13.5">
      <c r="A123" s="86"/>
      <c r="B123" s="91"/>
      <c r="C123" s="92"/>
      <c r="D123" s="82"/>
      <c r="E123" s="82"/>
      <c r="F123" s="96"/>
    </row>
    <row r="124" spans="1:6" ht="13.5">
      <c r="A124" s="86"/>
      <c r="B124" s="91"/>
      <c r="C124" s="92"/>
      <c r="D124" s="82"/>
      <c r="E124" s="82"/>
      <c r="F124" s="96"/>
    </row>
    <row r="125" spans="1:6" ht="13.5">
      <c r="A125" s="86"/>
      <c r="B125" s="91"/>
      <c r="C125" s="92"/>
      <c r="D125" s="82"/>
      <c r="E125" s="82"/>
      <c r="F125" s="96"/>
    </row>
    <row r="126" spans="1:6" ht="13.5">
      <c r="A126" s="86"/>
      <c r="B126" s="91"/>
      <c r="C126" s="92"/>
      <c r="D126" s="82"/>
      <c r="E126" s="82"/>
      <c r="F126" s="96"/>
    </row>
    <row r="127" spans="1:6" ht="13.5">
      <c r="A127" s="86"/>
      <c r="B127" s="91"/>
      <c r="C127" s="92"/>
      <c r="D127" s="82"/>
      <c r="E127" s="82"/>
      <c r="F127" s="96"/>
    </row>
    <row r="128" spans="1:6" ht="13.5">
      <c r="A128" s="86"/>
      <c r="B128" s="91"/>
      <c r="C128" s="92"/>
      <c r="D128" s="82"/>
      <c r="E128" s="82"/>
      <c r="F128" s="96"/>
    </row>
    <row r="129" spans="1:6" ht="13.5">
      <c r="A129" s="86"/>
      <c r="B129" s="91"/>
      <c r="C129" s="92"/>
      <c r="D129" s="82"/>
      <c r="E129" s="82"/>
      <c r="F129" s="96"/>
    </row>
    <row r="130" spans="1:6" ht="13.5">
      <c r="A130" s="86"/>
      <c r="B130" s="91"/>
      <c r="C130" s="92"/>
      <c r="D130" s="82"/>
      <c r="E130" s="82"/>
      <c r="F130" s="96"/>
    </row>
    <row r="131" spans="1:6" ht="13.5">
      <c r="A131" s="86"/>
      <c r="B131" s="91"/>
      <c r="C131" s="92"/>
      <c r="D131" s="82"/>
      <c r="E131" s="82"/>
      <c r="F131" s="96"/>
    </row>
    <row r="132" spans="1:6" ht="13.5">
      <c r="A132" s="86"/>
      <c r="B132" s="91"/>
      <c r="C132" s="92"/>
      <c r="D132" s="82"/>
      <c r="E132" s="82"/>
      <c r="F132" s="96"/>
    </row>
    <row r="133" spans="1:6" ht="13.5">
      <c r="A133" s="86"/>
      <c r="B133" s="91"/>
      <c r="C133" s="92"/>
      <c r="D133" s="82"/>
      <c r="E133" s="82"/>
      <c r="F133" s="96"/>
    </row>
    <row r="134" spans="1:6" ht="13.5">
      <c r="A134" s="86"/>
      <c r="B134" s="91"/>
      <c r="C134" s="92"/>
      <c r="D134" s="82"/>
      <c r="E134" s="82"/>
      <c r="F134" s="96"/>
    </row>
    <row r="135" spans="1:6" ht="13.5">
      <c r="A135" s="86"/>
      <c r="B135" s="91"/>
      <c r="C135" s="92"/>
      <c r="D135" s="82"/>
      <c r="E135" s="82"/>
      <c r="F135" s="96"/>
    </row>
    <row r="136" spans="1:6" ht="13.5">
      <c r="A136" s="86"/>
      <c r="B136" s="91"/>
      <c r="C136" s="92"/>
      <c r="D136" s="82"/>
      <c r="E136" s="82"/>
      <c r="F136" s="96"/>
    </row>
    <row r="137" spans="1:6" ht="13.5">
      <c r="A137" s="86"/>
      <c r="B137" s="91"/>
      <c r="C137" s="92"/>
      <c r="D137" s="82"/>
      <c r="E137" s="82"/>
      <c r="F137" s="96"/>
    </row>
    <row r="138" spans="1:6" ht="13.5">
      <c r="A138" s="86"/>
      <c r="B138" s="91"/>
      <c r="C138" s="92"/>
      <c r="D138" s="82"/>
      <c r="E138" s="82"/>
      <c r="F138" s="96"/>
    </row>
    <row r="139" spans="1:6" ht="13.5">
      <c r="A139" s="86"/>
      <c r="B139" s="91"/>
      <c r="C139" s="92"/>
      <c r="D139" s="82"/>
      <c r="E139" s="82"/>
      <c r="F139" s="96"/>
    </row>
    <row r="140" spans="1:6" ht="13.5">
      <c r="A140" s="86"/>
      <c r="B140" s="91"/>
      <c r="C140" s="92"/>
      <c r="D140" s="82"/>
      <c r="E140" s="82"/>
      <c r="F140" s="96"/>
    </row>
    <row r="141" spans="1:6" ht="13.5">
      <c r="A141" s="86"/>
      <c r="B141" s="91"/>
      <c r="C141" s="92"/>
      <c r="D141" s="82"/>
      <c r="E141" s="82"/>
      <c r="F141" s="96"/>
    </row>
    <row r="142" spans="1:6" ht="13.5">
      <c r="A142" s="86"/>
      <c r="B142" s="91"/>
      <c r="C142" s="92"/>
      <c r="D142" s="82"/>
      <c r="E142" s="82"/>
      <c r="F142" s="96"/>
    </row>
    <row r="143" spans="1:6" ht="13.5">
      <c r="A143" s="86"/>
      <c r="B143" s="91"/>
      <c r="C143" s="92"/>
      <c r="D143" s="82"/>
      <c r="E143" s="82"/>
      <c r="F143" s="96"/>
    </row>
    <row r="144" spans="1:6" ht="13.5">
      <c r="A144" s="86"/>
      <c r="B144" s="91"/>
      <c r="C144" s="92"/>
      <c r="D144" s="82"/>
      <c r="E144" s="82"/>
      <c r="F144" s="96"/>
    </row>
    <row r="145" spans="1:6" ht="13.5">
      <c r="A145" s="86"/>
      <c r="B145" s="91"/>
      <c r="C145" s="92"/>
      <c r="D145" s="82"/>
      <c r="E145" s="82"/>
      <c r="F145" s="96"/>
    </row>
    <row r="146" spans="1:6" ht="13.5">
      <c r="A146" s="86"/>
      <c r="B146" s="91"/>
      <c r="C146" s="92"/>
      <c r="D146" s="82"/>
      <c r="E146" s="82"/>
      <c r="F146" s="96"/>
    </row>
    <row r="147" spans="1:6" ht="13.5">
      <c r="A147" s="86"/>
      <c r="B147" s="91"/>
      <c r="C147" s="92"/>
      <c r="D147" s="82"/>
      <c r="E147" s="82"/>
      <c r="F147" s="96"/>
    </row>
    <row r="148" spans="1:6" ht="13.5">
      <c r="A148" s="86"/>
      <c r="B148" s="91"/>
      <c r="C148" s="92"/>
      <c r="D148" s="82"/>
      <c r="E148" s="82"/>
      <c r="F148" s="96"/>
    </row>
    <row r="149" spans="1:6" ht="13.5">
      <c r="A149" s="86"/>
      <c r="B149" s="91"/>
      <c r="C149" s="92"/>
      <c r="D149" s="82"/>
      <c r="E149" s="82"/>
      <c r="F149" s="96"/>
    </row>
    <row r="150" spans="1:6" ht="13.5">
      <c r="A150" s="86"/>
      <c r="B150" s="91"/>
      <c r="C150" s="92"/>
      <c r="D150" s="82"/>
      <c r="E150" s="82"/>
      <c r="F150" s="96"/>
    </row>
    <row r="151" spans="1:6" ht="13.5">
      <c r="A151" s="86"/>
      <c r="B151" s="91"/>
      <c r="C151" s="92"/>
      <c r="D151" s="82"/>
      <c r="E151" s="82"/>
      <c r="F151" s="96"/>
    </row>
    <row r="152" spans="1:6" ht="13.5">
      <c r="A152" s="86"/>
      <c r="B152" s="91"/>
      <c r="C152" s="92"/>
      <c r="D152" s="82"/>
      <c r="E152" s="82"/>
      <c r="F152" s="96"/>
    </row>
    <row r="153" spans="1:6" ht="13.5">
      <c r="A153" s="86"/>
      <c r="B153" s="91"/>
      <c r="C153" s="92"/>
      <c r="D153" s="82"/>
      <c r="E153" s="82"/>
      <c r="F153" s="96"/>
    </row>
    <row r="154" spans="1:6" ht="13.5">
      <c r="A154" s="86"/>
      <c r="B154" s="91"/>
      <c r="C154" s="92"/>
      <c r="D154" s="82"/>
      <c r="E154" s="82"/>
      <c r="F154" s="96"/>
    </row>
    <row r="155" spans="1:6" ht="13.5">
      <c r="A155" s="86"/>
      <c r="B155" s="91"/>
      <c r="C155" s="92"/>
      <c r="D155" s="82"/>
      <c r="E155" s="82"/>
      <c r="F155" s="96"/>
    </row>
    <row r="156" spans="1:6" ht="13.5">
      <c r="A156" s="86"/>
      <c r="B156" s="91"/>
      <c r="C156" s="92"/>
      <c r="D156" s="82"/>
      <c r="E156" s="82"/>
      <c r="F156" s="96"/>
    </row>
    <row r="157" spans="1:6" ht="13.5">
      <c r="A157" s="86"/>
      <c r="B157" s="91"/>
      <c r="C157" s="92"/>
      <c r="D157" s="82"/>
      <c r="E157" s="82"/>
      <c r="F157" s="96"/>
    </row>
    <row r="158" spans="1:6" ht="13.5">
      <c r="A158" s="86"/>
      <c r="B158" s="91"/>
      <c r="C158" s="92"/>
      <c r="D158" s="82"/>
      <c r="E158" s="82"/>
      <c r="F158" s="96"/>
    </row>
    <row r="159" spans="1:6" ht="13.5">
      <c r="A159" s="86"/>
      <c r="B159" s="91"/>
      <c r="C159" s="92"/>
      <c r="D159" s="82"/>
      <c r="E159" s="82"/>
      <c r="F159" s="96"/>
    </row>
    <row r="160" spans="1:6" ht="13.5">
      <c r="A160" s="86"/>
      <c r="B160" s="91"/>
      <c r="C160" s="92"/>
      <c r="D160" s="82"/>
      <c r="E160" s="82"/>
      <c r="F160" s="96"/>
    </row>
    <row r="161" spans="1:6" ht="13.5">
      <c r="A161" s="86"/>
      <c r="B161" s="91"/>
      <c r="C161" s="92"/>
      <c r="D161" s="82"/>
      <c r="E161" s="82"/>
      <c r="F161" s="96"/>
    </row>
    <row r="162" spans="1:6" ht="13.5">
      <c r="A162" s="86"/>
      <c r="B162" s="91"/>
      <c r="C162" s="92"/>
      <c r="D162" s="82"/>
      <c r="E162" s="82"/>
      <c r="F162" s="96"/>
    </row>
    <row r="163" spans="1:6" ht="13.5">
      <c r="A163" s="86"/>
      <c r="B163" s="91"/>
      <c r="C163" s="92"/>
      <c r="D163" s="82"/>
      <c r="E163" s="82"/>
      <c r="F163" s="96"/>
    </row>
    <row r="164" spans="1:6" ht="13.5">
      <c r="A164" s="86"/>
      <c r="B164" s="91"/>
      <c r="C164" s="92"/>
      <c r="D164" s="82"/>
      <c r="E164" s="82"/>
      <c r="F164" s="96"/>
    </row>
    <row r="165" spans="1:6" ht="13.5">
      <c r="A165" s="86"/>
      <c r="B165" s="91"/>
      <c r="C165" s="92"/>
      <c r="D165" s="82"/>
      <c r="E165" s="82"/>
      <c r="F165" s="96"/>
    </row>
    <row r="166" spans="1:6" ht="13.5">
      <c r="A166" s="86"/>
      <c r="B166" s="91"/>
      <c r="C166" s="92"/>
      <c r="D166" s="82"/>
      <c r="E166" s="82"/>
      <c r="F166" s="96"/>
    </row>
    <row r="167" spans="1:6" ht="13.5">
      <c r="A167" s="86"/>
      <c r="B167" s="91"/>
      <c r="C167" s="92"/>
      <c r="D167" s="82"/>
      <c r="E167" s="82"/>
      <c r="F167" s="96"/>
    </row>
    <row r="168" spans="1:6" ht="13.5">
      <c r="A168" s="86"/>
      <c r="B168" s="91"/>
      <c r="C168" s="92"/>
      <c r="D168" s="82"/>
      <c r="E168" s="82"/>
      <c r="F168" s="96"/>
    </row>
    <row r="169" spans="1:6" ht="13.5">
      <c r="A169" s="86"/>
      <c r="B169" s="91"/>
      <c r="C169" s="92"/>
      <c r="D169" s="82"/>
      <c r="E169" s="82"/>
      <c r="F169" s="96"/>
    </row>
    <row r="170" spans="1:6" ht="13.5">
      <c r="A170" s="86"/>
      <c r="B170" s="91"/>
      <c r="C170" s="92"/>
      <c r="D170" s="82"/>
      <c r="E170" s="82"/>
      <c r="F170" s="96"/>
    </row>
    <row r="171" spans="1:6" ht="13.5">
      <c r="A171" s="86"/>
      <c r="B171" s="91"/>
      <c r="C171" s="92"/>
      <c r="D171" s="82"/>
      <c r="E171" s="82"/>
      <c r="F171" s="96"/>
    </row>
    <row r="172" spans="1:6" ht="13.5">
      <c r="A172" s="86"/>
      <c r="B172" s="91"/>
      <c r="C172" s="92"/>
      <c r="D172" s="82"/>
      <c r="E172" s="82"/>
      <c r="F172" s="96"/>
    </row>
    <row r="173" spans="1:6" ht="13.5">
      <c r="A173" s="86"/>
      <c r="B173" s="91"/>
      <c r="C173" s="92"/>
      <c r="D173" s="82"/>
      <c r="E173" s="82"/>
      <c r="F173" s="96"/>
    </row>
    <row r="174" spans="1:6" ht="13.5">
      <c r="A174" s="86"/>
      <c r="B174" s="91"/>
      <c r="C174" s="92"/>
      <c r="D174" s="82"/>
      <c r="E174" s="82"/>
      <c r="F174" s="96"/>
    </row>
    <row r="175" spans="1:6" ht="13.5">
      <c r="A175" s="86"/>
      <c r="B175" s="91"/>
      <c r="C175" s="92"/>
      <c r="D175" s="82"/>
      <c r="E175" s="82"/>
      <c r="F175" s="96"/>
    </row>
    <row r="176" spans="1:6" ht="13.5">
      <c r="A176" s="86"/>
      <c r="B176" s="91"/>
      <c r="C176" s="92"/>
      <c r="D176" s="82"/>
      <c r="E176" s="82"/>
      <c r="F176" s="96"/>
    </row>
    <row r="177" spans="1:6" ht="13.5">
      <c r="A177" s="86"/>
      <c r="B177" s="91"/>
      <c r="C177" s="92"/>
      <c r="D177" s="82"/>
      <c r="E177" s="82"/>
      <c r="F177" s="96"/>
    </row>
    <row r="178" spans="1:6" ht="13.5">
      <c r="A178" s="86"/>
      <c r="B178" s="91"/>
      <c r="C178" s="92"/>
      <c r="D178" s="82"/>
      <c r="E178" s="82"/>
      <c r="F178" s="96"/>
    </row>
    <row r="179" spans="1:6" ht="13.5">
      <c r="A179" s="86"/>
      <c r="B179" s="91"/>
      <c r="C179" s="92"/>
      <c r="D179" s="82"/>
      <c r="E179" s="82"/>
      <c r="F179" s="96"/>
    </row>
    <row r="180" spans="1:6" ht="13.5">
      <c r="A180" s="86"/>
      <c r="B180" s="91"/>
      <c r="C180" s="92"/>
      <c r="D180" s="82"/>
      <c r="E180" s="82"/>
      <c r="F180" s="96"/>
    </row>
    <row r="181" spans="1:6" ht="13.5">
      <c r="A181" s="86"/>
      <c r="B181" s="91"/>
      <c r="C181" s="92"/>
      <c r="D181" s="82"/>
      <c r="E181" s="82"/>
      <c r="F181" s="96"/>
    </row>
    <row r="182" spans="1:6" ht="13.5">
      <c r="A182" s="86"/>
      <c r="B182" s="91"/>
      <c r="C182" s="92"/>
      <c r="D182" s="82"/>
      <c r="E182" s="82"/>
      <c r="F182" s="96"/>
    </row>
    <row r="183" spans="1:6" ht="13.5">
      <c r="A183" s="86"/>
      <c r="B183" s="91"/>
      <c r="C183" s="92"/>
      <c r="D183" s="82"/>
      <c r="E183" s="82"/>
      <c r="F183" s="96"/>
    </row>
    <row r="184" spans="1:6" ht="13.5">
      <c r="A184" s="86"/>
      <c r="B184" s="91"/>
      <c r="C184" s="92"/>
      <c r="D184" s="82"/>
      <c r="E184" s="82"/>
      <c r="F184" s="96"/>
    </row>
    <row r="185" spans="1:6" ht="13.5">
      <c r="A185" s="86"/>
      <c r="B185" s="91"/>
      <c r="C185" s="92"/>
      <c r="D185" s="82"/>
      <c r="E185" s="82"/>
      <c r="F185" s="96"/>
    </row>
    <row r="186" spans="1:6" ht="13.5">
      <c r="A186" s="86"/>
      <c r="B186" s="91"/>
      <c r="C186" s="92"/>
      <c r="D186" s="82"/>
      <c r="E186" s="82"/>
      <c r="F186" s="96"/>
    </row>
    <row r="187" spans="1:6" ht="13.5">
      <c r="A187" s="86"/>
      <c r="B187" s="91"/>
      <c r="C187" s="92"/>
      <c r="D187" s="82"/>
      <c r="E187" s="82"/>
      <c r="F187" s="96"/>
    </row>
    <row r="188" spans="1:6" ht="13.5">
      <c r="A188" s="86"/>
      <c r="B188" s="91"/>
      <c r="C188" s="92"/>
      <c r="D188" s="82"/>
      <c r="E188" s="82"/>
      <c r="F188" s="96"/>
    </row>
    <row r="189" spans="1:6" ht="13.5">
      <c r="A189" s="86"/>
      <c r="B189" s="91"/>
      <c r="C189" s="92"/>
      <c r="D189" s="82"/>
      <c r="E189" s="82"/>
      <c r="F189" s="96"/>
    </row>
    <row r="190" spans="1:6" ht="13.5">
      <c r="A190" s="86"/>
      <c r="B190" s="91"/>
      <c r="C190" s="92"/>
      <c r="D190" s="82"/>
      <c r="E190" s="82"/>
      <c r="F190" s="96"/>
    </row>
    <row r="191" spans="1:6" ht="13.5">
      <c r="A191" s="86"/>
      <c r="B191" s="91"/>
      <c r="C191" s="92"/>
      <c r="D191" s="82"/>
      <c r="E191" s="82"/>
      <c r="F191" s="96"/>
    </row>
    <row r="192" spans="1:6" ht="13.5">
      <c r="A192" s="86"/>
      <c r="B192" s="91"/>
      <c r="C192" s="92"/>
      <c r="D192" s="82"/>
      <c r="E192" s="82"/>
      <c r="F192" s="96"/>
    </row>
    <row r="193" spans="1:6" ht="13.5">
      <c r="A193" s="86"/>
      <c r="B193" s="91"/>
      <c r="C193" s="92"/>
      <c r="D193" s="82"/>
      <c r="E193" s="82"/>
      <c r="F193" s="96"/>
    </row>
    <row r="194" spans="1:6" ht="13.5">
      <c r="A194" s="86"/>
      <c r="B194" s="91"/>
      <c r="C194" s="92"/>
      <c r="D194" s="82"/>
      <c r="E194" s="82"/>
      <c r="F194" s="96"/>
    </row>
    <row r="195" spans="1:6" ht="13.5">
      <c r="A195" s="86"/>
      <c r="B195" s="91"/>
      <c r="C195" s="92"/>
      <c r="D195" s="82"/>
      <c r="E195" s="82"/>
      <c r="F195" s="96"/>
    </row>
    <row r="196" spans="1:6" ht="13.5">
      <c r="A196" s="86"/>
      <c r="B196" s="91"/>
      <c r="C196" s="92"/>
      <c r="D196" s="82"/>
      <c r="E196" s="82"/>
      <c r="F196" s="96"/>
    </row>
    <row r="197" spans="1:6" ht="13.5">
      <c r="A197" s="86"/>
      <c r="B197" s="91"/>
      <c r="C197" s="92"/>
      <c r="D197" s="82"/>
      <c r="E197" s="82"/>
      <c r="F197" s="96"/>
    </row>
    <row r="198" spans="1:6" ht="13.5">
      <c r="A198" s="86"/>
      <c r="B198" s="91"/>
      <c r="C198" s="92"/>
      <c r="D198" s="82"/>
      <c r="E198" s="82"/>
      <c r="F198" s="96"/>
    </row>
    <row r="199" spans="1:6" ht="13.5">
      <c r="A199" s="86"/>
      <c r="B199" s="91"/>
      <c r="C199" s="92"/>
      <c r="D199" s="82"/>
      <c r="E199" s="82"/>
      <c r="F199" s="96"/>
    </row>
    <row r="200" spans="1:6" ht="13.5">
      <c r="A200" s="86"/>
      <c r="B200" s="91"/>
      <c r="C200" s="92"/>
      <c r="D200" s="82"/>
      <c r="E200" s="82"/>
      <c r="F200" s="96"/>
    </row>
    <row r="201" spans="1:6" ht="13.5">
      <c r="A201" s="86"/>
      <c r="B201" s="91"/>
      <c r="C201" s="92"/>
      <c r="D201" s="82"/>
      <c r="E201" s="82"/>
      <c r="F201" s="96"/>
    </row>
    <row r="202" spans="1:6" ht="13.5">
      <c r="A202" s="86"/>
      <c r="B202" s="91"/>
      <c r="C202" s="92"/>
      <c r="D202" s="82"/>
      <c r="E202" s="82"/>
      <c r="F202" s="96"/>
    </row>
    <row r="203" spans="1:6" ht="13.5">
      <c r="A203" s="86"/>
      <c r="B203" s="91"/>
      <c r="C203" s="92"/>
      <c r="D203" s="82"/>
      <c r="E203" s="82"/>
      <c r="F203" s="96"/>
    </row>
    <row r="204" spans="1:6" ht="13.5">
      <c r="A204" s="86"/>
      <c r="B204" s="91"/>
      <c r="C204" s="92"/>
      <c r="D204" s="82"/>
      <c r="E204" s="82"/>
      <c r="F204" s="96"/>
    </row>
    <row r="205" spans="1:6" ht="13.5">
      <c r="A205" s="86"/>
      <c r="B205" s="91"/>
      <c r="C205" s="92"/>
      <c r="D205" s="82"/>
      <c r="E205" s="82"/>
      <c r="F205" s="96"/>
    </row>
    <row r="206" spans="1:6" ht="13.5">
      <c r="A206" s="86"/>
      <c r="B206" s="91"/>
      <c r="C206" s="92"/>
      <c r="D206" s="82"/>
      <c r="E206" s="82"/>
      <c r="F206" s="96"/>
    </row>
    <row r="207" spans="1:6" ht="13.5">
      <c r="A207" s="86"/>
      <c r="B207" s="91"/>
      <c r="C207" s="92"/>
      <c r="D207" s="82"/>
      <c r="E207" s="82"/>
      <c r="F207" s="96"/>
    </row>
    <row r="208" spans="1:6" ht="13.5">
      <c r="A208" s="86"/>
      <c r="B208" s="91"/>
      <c r="C208" s="92"/>
      <c r="D208" s="82"/>
      <c r="E208" s="82"/>
      <c r="F208" s="96"/>
    </row>
    <row r="209" spans="1:6" ht="13.5">
      <c r="A209" s="86"/>
      <c r="B209" s="91"/>
      <c r="C209" s="92"/>
      <c r="D209" s="82"/>
      <c r="E209" s="82"/>
      <c r="F209" s="96"/>
    </row>
    <row r="210" spans="1:6" ht="13.5">
      <c r="A210" s="86"/>
      <c r="B210" s="91"/>
      <c r="C210" s="92"/>
      <c r="D210" s="82"/>
      <c r="E210" s="82"/>
      <c r="F210" s="96"/>
    </row>
    <row r="211" spans="1:6" ht="13.5">
      <c r="A211" s="86"/>
      <c r="B211" s="91"/>
      <c r="C211" s="92"/>
      <c r="D211" s="82"/>
      <c r="E211" s="82"/>
      <c r="F211" s="96"/>
    </row>
    <row r="212" spans="1:6" ht="13.5">
      <c r="A212" s="86"/>
      <c r="B212" s="91"/>
      <c r="C212" s="92"/>
      <c r="D212" s="82"/>
      <c r="E212" s="82"/>
      <c r="F212" s="96"/>
    </row>
    <row r="213" spans="1:6" ht="13.5">
      <c r="A213" s="86"/>
      <c r="B213" s="91"/>
      <c r="C213" s="92"/>
      <c r="D213" s="82"/>
      <c r="E213" s="82"/>
      <c r="F213" s="96"/>
    </row>
    <row r="214" spans="1:6" ht="13.5">
      <c r="A214" s="86"/>
      <c r="B214" s="91"/>
      <c r="C214" s="92"/>
      <c r="D214" s="82"/>
      <c r="E214" s="82"/>
      <c r="F214" s="96"/>
    </row>
    <row r="215" spans="1:6" ht="13.5">
      <c r="A215" s="86"/>
      <c r="B215" s="91"/>
      <c r="C215" s="92"/>
      <c r="D215" s="82"/>
      <c r="E215" s="82"/>
      <c r="F215" s="96"/>
    </row>
    <row r="216" spans="1:6" ht="13.5">
      <c r="A216" s="86"/>
      <c r="B216" s="91"/>
      <c r="C216" s="92"/>
      <c r="D216" s="82"/>
      <c r="E216" s="82"/>
      <c r="F216" s="96"/>
    </row>
    <row r="217" spans="1:6" ht="13.5">
      <c r="A217" s="86"/>
      <c r="B217" s="91"/>
      <c r="C217" s="92"/>
      <c r="D217" s="82"/>
      <c r="E217" s="82"/>
      <c r="F217" s="96"/>
    </row>
    <row r="218" spans="1:6" ht="13.5">
      <c r="A218" s="86"/>
      <c r="B218" s="91"/>
      <c r="C218" s="92"/>
      <c r="D218" s="82"/>
      <c r="E218" s="82"/>
      <c r="F218" s="96"/>
    </row>
    <row r="219" spans="1:6" ht="13.5">
      <c r="A219" s="86"/>
      <c r="B219" s="91"/>
      <c r="C219" s="92"/>
      <c r="D219" s="82"/>
      <c r="E219" s="82"/>
      <c r="F219" s="96"/>
    </row>
    <row r="220" spans="1:6" ht="13.5">
      <c r="A220" s="86"/>
      <c r="B220" s="91"/>
      <c r="C220" s="92"/>
      <c r="D220" s="82"/>
      <c r="E220" s="82"/>
      <c r="F220" s="96"/>
    </row>
    <row r="221" spans="1:6" ht="13.5">
      <c r="A221" s="86"/>
      <c r="B221" s="91"/>
      <c r="C221" s="92"/>
      <c r="D221" s="82"/>
      <c r="E221" s="82"/>
      <c r="F221" s="96"/>
    </row>
    <row r="222" spans="1:6" ht="13.5">
      <c r="A222" s="86"/>
      <c r="B222" s="91"/>
      <c r="C222" s="92"/>
      <c r="D222" s="82"/>
      <c r="E222" s="82"/>
      <c r="F222" s="96"/>
    </row>
    <row r="223" spans="1:6" ht="13.5">
      <c r="A223" s="86"/>
      <c r="B223" s="91"/>
      <c r="C223" s="92"/>
      <c r="D223" s="82"/>
      <c r="E223" s="82"/>
      <c r="F223" s="96"/>
    </row>
    <row r="224" spans="1:6" ht="13.5">
      <c r="A224" s="86"/>
      <c r="B224" s="91"/>
      <c r="C224" s="92"/>
      <c r="D224" s="82"/>
      <c r="E224" s="82"/>
      <c r="F224" s="96"/>
    </row>
    <row r="225" spans="1:6" ht="13.5">
      <c r="A225" s="86"/>
      <c r="B225" s="91"/>
      <c r="C225" s="92"/>
      <c r="D225" s="82"/>
      <c r="E225" s="82"/>
      <c r="F225" s="96"/>
    </row>
    <row r="226" spans="1:6" ht="13.5">
      <c r="A226" s="86"/>
      <c r="B226" s="91"/>
      <c r="C226" s="92"/>
      <c r="D226" s="82"/>
      <c r="E226" s="82"/>
      <c r="F226" s="96"/>
    </row>
    <row r="227" spans="1:6" ht="13.5">
      <c r="A227" s="86"/>
      <c r="B227" s="91"/>
      <c r="C227" s="92"/>
      <c r="D227" s="82"/>
      <c r="E227" s="82"/>
      <c r="F227" s="96"/>
    </row>
    <row r="228" spans="1:6" ht="13.5">
      <c r="A228" s="86"/>
      <c r="B228" s="91"/>
      <c r="C228" s="92"/>
      <c r="D228" s="82"/>
      <c r="E228" s="82"/>
      <c r="F228" s="96"/>
    </row>
    <row r="229" spans="1:6" ht="13.5">
      <c r="A229" s="86"/>
      <c r="B229" s="91"/>
      <c r="C229" s="92"/>
      <c r="D229" s="82"/>
      <c r="E229" s="82"/>
      <c r="F229" s="96"/>
    </row>
    <row r="230" spans="1:6" ht="13.5">
      <c r="A230" s="86"/>
      <c r="B230" s="91"/>
      <c r="C230" s="92"/>
      <c r="D230" s="82"/>
      <c r="E230" s="82"/>
      <c r="F230" s="96"/>
    </row>
    <row r="231" spans="1:6" ht="13.5">
      <c r="A231" s="86"/>
      <c r="B231" s="91"/>
      <c r="C231" s="92"/>
      <c r="D231" s="82"/>
      <c r="E231" s="82"/>
      <c r="F231" s="96"/>
    </row>
    <row r="232" spans="1:6" ht="13.5">
      <c r="A232" s="86"/>
      <c r="B232" s="91"/>
      <c r="C232" s="92"/>
      <c r="D232" s="82"/>
      <c r="E232" s="82"/>
      <c r="F232" s="96"/>
    </row>
    <row r="233" spans="1:6" ht="13.5">
      <c r="A233" s="86"/>
      <c r="B233" s="91"/>
      <c r="C233" s="92"/>
      <c r="D233" s="82"/>
      <c r="E233" s="82"/>
      <c r="F233" s="96"/>
    </row>
    <row r="234" spans="1:6" ht="13.5">
      <c r="A234" s="86"/>
      <c r="B234" s="91"/>
      <c r="C234" s="92"/>
      <c r="D234" s="82"/>
      <c r="E234" s="82"/>
      <c r="F234" s="96"/>
    </row>
    <row r="235" spans="1:6" ht="13.5">
      <c r="A235" s="86"/>
      <c r="B235" s="91"/>
      <c r="C235" s="92"/>
      <c r="D235" s="82"/>
      <c r="E235" s="82"/>
      <c r="F235" s="96"/>
    </row>
    <row r="236" spans="1:6" ht="13.5">
      <c r="A236" s="86"/>
      <c r="B236" s="91"/>
      <c r="C236" s="92"/>
      <c r="D236" s="82"/>
      <c r="E236" s="82"/>
      <c r="F236" s="96"/>
    </row>
    <row r="237" spans="1:6" ht="13.5">
      <c r="A237" s="86"/>
      <c r="B237" s="91"/>
      <c r="C237" s="92"/>
      <c r="D237" s="82"/>
      <c r="E237" s="82"/>
      <c r="F237" s="96"/>
    </row>
    <row r="238" spans="1:6" ht="13.5">
      <c r="A238" s="86"/>
      <c r="B238" s="91"/>
      <c r="C238" s="92"/>
      <c r="D238" s="82"/>
      <c r="E238" s="82"/>
      <c r="F238" s="96"/>
    </row>
    <row r="239" spans="1:6" ht="13.5">
      <c r="A239" s="86"/>
      <c r="B239" s="91"/>
      <c r="C239" s="92"/>
      <c r="D239" s="82"/>
      <c r="E239" s="82"/>
      <c r="F239" s="96"/>
    </row>
    <row r="240" spans="1:6" ht="13.5">
      <c r="A240" s="86"/>
      <c r="B240" s="91"/>
      <c r="C240" s="92"/>
      <c r="D240" s="82"/>
      <c r="E240" s="82"/>
      <c r="F240" s="96"/>
    </row>
    <row r="241" spans="1:6" ht="13.5">
      <c r="A241" s="86"/>
      <c r="B241" s="91"/>
      <c r="C241" s="92"/>
      <c r="D241" s="82"/>
      <c r="E241" s="82"/>
      <c r="F241" s="96"/>
    </row>
    <row r="242" spans="1:6" ht="13.5">
      <c r="A242" s="86"/>
      <c r="B242" s="91"/>
      <c r="C242" s="92"/>
      <c r="D242" s="82"/>
      <c r="E242" s="82"/>
      <c r="F242" s="96"/>
    </row>
    <row r="243" spans="1:6" ht="13.5">
      <c r="A243" s="86"/>
      <c r="B243" s="91"/>
      <c r="C243" s="92"/>
      <c r="D243" s="82"/>
      <c r="E243" s="82"/>
      <c r="F243" s="96"/>
    </row>
    <row r="244" spans="1:6" ht="13.5">
      <c r="A244" s="86"/>
      <c r="B244" s="91"/>
      <c r="C244" s="92"/>
      <c r="D244" s="82"/>
      <c r="E244" s="82"/>
      <c r="F244" s="96"/>
    </row>
    <row r="245" spans="1:6" ht="13.5">
      <c r="A245" s="86"/>
      <c r="B245" s="91"/>
      <c r="C245" s="92"/>
      <c r="D245" s="82"/>
      <c r="E245" s="82"/>
      <c r="F245" s="96"/>
    </row>
    <row r="246" spans="1:6" ht="13.5">
      <c r="A246" s="86"/>
      <c r="B246" s="91"/>
      <c r="C246" s="92"/>
      <c r="D246" s="82"/>
      <c r="E246" s="82"/>
      <c r="F246" s="96"/>
    </row>
    <row r="247" spans="1:6" ht="13.5">
      <c r="A247" s="86"/>
      <c r="B247" s="91"/>
      <c r="C247" s="92"/>
      <c r="D247" s="82"/>
      <c r="E247" s="82"/>
      <c r="F247" s="96"/>
    </row>
    <row r="248" spans="1:6" ht="13.5">
      <c r="A248" s="86"/>
      <c r="B248" s="91"/>
      <c r="C248" s="92"/>
      <c r="D248" s="82"/>
      <c r="E248" s="82"/>
      <c r="F248" s="96"/>
    </row>
    <row r="249" spans="1:6" ht="13.5">
      <c r="A249" s="86"/>
      <c r="B249" s="91"/>
      <c r="C249" s="92"/>
      <c r="D249" s="82"/>
      <c r="E249" s="82"/>
      <c r="F249" s="96"/>
    </row>
    <row r="250" spans="1:6" ht="13.5">
      <c r="A250" s="86"/>
      <c r="B250" s="91"/>
      <c r="C250" s="92"/>
      <c r="D250" s="82"/>
      <c r="E250" s="82"/>
      <c r="F250" s="96"/>
    </row>
    <row r="251" spans="1:6" ht="13.5">
      <c r="A251" s="86"/>
      <c r="B251" s="91"/>
      <c r="C251" s="92"/>
      <c r="D251" s="82"/>
      <c r="E251" s="82"/>
      <c r="F251" s="96"/>
    </row>
    <row r="252" spans="1:6" ht="13.5">
      <c r="A252" s="86"/>
      <c r="B252" s="91"/>
      <c r="C252" s="92"/>
      <c r="D252" s="82"/>
      <c r="E252" s="82"/>
      <c r="F252" s="96"/>
    </row>
    <row r="253" spans="1:6" ht="13.5">
      <c r="A253" s="86"/>
      <c r="B253" s="91"/>
      <c r="C253" s="92"/>
      <c r="D253" s="82"/>
      <c r="E253" s="82"/>
      <c r="F253" s="96"/>
    </row>
    <row r="254" spans="1:6" ht="13.5">
      <c r="A254" s="86"/>
      <c r="B254" s="91"/>
      <c r="C254" s="92"/>
      <c r="D254" s="82"/>
      <c r="E254" s="82"/>
      <c r="F254" s="96"/>
    </row>
    <row r="255" spans="1:6" ht="13.5">
      <c r="A255" s="86"/>
      <c r="B255" s="91"/>
      <c r="C255" s="92"/>
      <c r="D255" s="82"/>
      <c r="E255" s="82"/>
      <c r="F255" s="96"/>
    </row>
    <row r="256" spans="1:6" ht="13.5">
      <c r="A256" s="86"/>
      <c r="B256" s="91"/>
      <c r="C256" s="92"/>
      <c r="D256" s="82"/>
      <c r="E256" s="82"/>
      <c r="F256" s="96"/>
    </row>
    <row r="257" spans="1:6" ht="13.5">
      <c r="A257" s="86"/>
      <c r="B257" s="91"/>
      <c r="C257" s="92"/>
      <c r="D257" s="82"/>
      <c r="E257" s="82"/>
      <c r="F257" s="96"/>
    </row>
    <row r="258" spans="1:6" ht="13.5">
      <c r="A258" s="86"/>
      <c r="B258" s="91"/>
      <c r="C258" s="92"/>
      <c r="D258" s="82"/>
      <c r="E258" s="82"/>
      <c r="F258" s="96"/>
    </row>
    <row r="259" spans="1:6" ht="13.5">
      <c r="A259" s="86"/>
      <c r="B259" s="91"/>
      <c r="C259" s="92"/>
      <c r="D259" s="82"/>
      <c r="E259" s="82"/>
      <c r="F259" s="96"/>
    </row>
    <row r="260" spans="1:6" ht="13.5">
      <c r="A260" s="86"/>
      <c r="B260" s="91"/>
      <c r="C260" s="92"/>
      <c r="D260" s="82"/>
      <c r="E260" s="82"/>
      <c r="F260" s="96"/>
    </row>
    <row r="261" spans="1:6" ht="13.5">
      <c r="A261" s="86"/>
      <c r="B261" s="91"/>
      <c r="C261" s="92"/>
      <c r="D261" s="82"/>
      <c r="E261" s="82"/>
      <c r="F261" s="96"/>
    </row>
    <row r="262" spans="1:6" ht="13.5">
      <c r="A262" s="86"/>
      <c r="B262" s="91"/>
      <c r="C262" s="92"/>
      <c r="D262" s="82"/>
      <c r="E262" s="82"/>
      <c r="F262" s="96"/>
    </row>
    <row r="263" spans="1:6" ht="13.5">
      <c r="A263" s="86"/>
      <c r="B263" s="91"/>
      <c r="C263" s="92"/>
      <c r="D263" s="82"/>
      <c r="E263" s="82"/>
      <c r="F263" s="96"/>
    </row>
    <row r="264" spans="1:6" ht="13.5">
      <c r="A264" s="86"/>
      <c r="B264" s="91"/>
      <c r="C264" s="92"/>
      <c r="D264" s="82"/>
      <c r="E264" s="82"/>
      <c r="F264" s="96"/>
    </row>
    <row r="265" spans="1:6" ht="13.5">
      <c r="A265" s="86"/>
      <c r="B265" s="91"/>
      <c r="C265" s="92"/>
      <c r="D265" s="82"/>
      <c r="E265" s="82"/>
      <c r="F265" s="96"/>
    </row>
    <row r="266" spans="1:6" ht="13.5">
      <c r="A266" s="86"/>
      <c r="B266" s="91"/>
      <c r="C266" s="92"/>
      <c r="D266" s="82"/>
      <c r="E266" s="82"/>
      <c r="F266" s="96"/>
    </row>
    <row r="267" spans="1:6" ht="13.5">
      <c r="A267" s="86"/>
      <c r="B267" s="91"/>
      <c r="C267" s="92"/>
      <c r="D267" s="82"/>
      <c r="E267" s="82"/>
      <c r="F267" s="96"/>
    </row>
    <row r="268" spans="1:6" ht="13.5">
      <c r="A268" s="86"/>
      <c r="B268" s="91"/>
      <c r="C268" s="92"/>
      <c r="D268" s="82"/>
      <c r="E268" s="82"/>
      <c r="F268" s="96"/>
    </row>
    <row r="269" spans="1:6" ht="13.5">
      <c r="A269" s="86"/>
      <c r="B269" s="91"/>
      <c r="C269" s="92"/>
      <c r="D269" s="82"/>
      <c r="E269" s="82"/>
      <c r="F269" s="96"/>
    </row>
    <row r="270" spans="1:6" ht="13.5">
      <c r="A270" s="86"/>
      <c r="B270" s="91"/>
      <c r="C270" s="92"/>
      <c r="D270" s="82"/>
      <c r="E270" s="82"/>
      <c r="F270" s="96"/>
    </row>
    <row r="271" spans="1:6" ht="13.5">
      <c r="A271" s="86"/>
      <c r="B271" s="91"/>
      <c r="C271" s="92"/>
      <c r="D271" s="82"/>
      <c r="E271" s="82"/>
      <c r="F271" s="96"/>
    </row>
    <row r="272" spans="1:6" ht="13.5">
      <c r="A272" s="86"/>
      <c r="B272" s="91"/>
      <c r="C272" s="92"/>
      <c r="D272" s="82"/>
      <c r="E272" s="82"/>
      <c r="F272" s="96"/>
    </row>
    <row r="273" spans="1:6" ht="13.5">
      <c r="A273" s="86"/>
      <c r="B273" s="91"/>
      <c r="C273" s="92"/>
      <c r="D273" s="82"/>
      <c r="E273" s="82"/>
      <c r="F273" s="96"/>
    </row>
    <row r="274" spans="1:6" ht="13.5">
      <c r="A274" s="86"/>
      <c r="B274" s="91"/>
      <c r="C274" s="92"/>
      <c r="D274" s="82"/>
      <c r="E274" s="82"/>
      <c r="F274" s="96"/>
    </row>
    <row r="275" spans="1:6" ht="13.5">
      <c r="A275" s="86"/>
      <c r="B275" s="91"/>
      <c r="C275" s="92"/>
      <c r="D275" s="82"/>
      <c r="E275" s="82"/>
      <c r="F275" s="96"/>
    </row>
    <row r="276" spans="1:6" ht="13.5">
      <c r="A276" s="86"/>
      <c r="B276" s="91"/>
      <c r="C276" s="92"/>
      <c r="D276" s="82"/>
      <c r="E276" s="82"/>
      <c r="F276" s="96"/>
    </row>
    <row r="277" spans="1:6" ht="13.5">
      <c r="A277" s="86"/>
      <c r="B277" s="91"/>
      <c r="C277" s="92"/>
      <c r="D277" s="82"/>
      <c r="E277" s="82"/>
      <c r="F277" s="96"/>
    </row>
    <row r="278" spans="1:6" ht="13.5">
      <c r="A278" s="86"/>
      <c r="B278" s="91"/>
      <c r="C278" s="92"/>
      <c r="D278" s="82"/>
      <c r="E278" s="82"/>
      <c r="F278" s="96"/>
    </row>
    <row r="279" spans="1:6" ht="13.5">
      <c r="A279" s="86"/>
      <c r="B279" s="91"/>
      <c r="C279" s="92"/>
      <c r="D279" s="82"/>
      <c r="E279" s="82"/>
      <c r="F279" s="96"/>
    </row>
    <row r="280" spans="1:6" ht="13.5">
      <c r="A280" s="86"/>
      <c r="B280" s="91"/>
      <c r="C280" s="92"/>
      <c r="D280" s="82"/>
      <c r="E280" s="82"/>
      <c r="F280" s="96"/>
    </row>
    <row r="281" spans="1:6" ht="13.5">
      <c r="A281" s="86"/>
      <c r="B281" s="91"/>
      <c r="C281" s="92"/>
      <c r="D281" s="82"/>
      <c r="E281" s="82"/>
      <c r="F281" s="96"/>
    </row>
    <row r="282" spans="1:6" ht="13.5">
      <c r="A282" s="86"/>
      <c r="B282" s="91"/>
      <c r="C282" s="92"/>
      <c r="D282" s="82"/>
      <c r="E282" s="82"/>
      <c r="F282" s="96"/>
    </row>
    <row r="283" spans="1:6" ht="13.5">
      <c r="A283" s="86"/>
      <c r="B283" s="91"/>
      <c r="C283" s="92"/>
      <c r="D283" s="82"/>
      <c r="E283" s="82"/>
      <c r="F283" s="96"/>
    </row>
    <row r="284" spans="1:6" ht="13.5">
      <c r="A284" s="86"/>
      <c r="B284" s="91"/>
      <c r="C284" s="92"/>
      <c r="D284" s="82"/>
      <c r="E284" s="82"/>
      <c r="F284" s="96"/>
    </row>
    <row r="285" spans="1:6" ht="13.5">
      <c r="A285" s="86"/>
      <c r="B285" s="91"/>
      <c r="C285" s="92"/>
      <c r="D285" s="82"/>
      <c r="E285" s="82"/>
      <c r="F285" s="96"/>
    </row>
    <row r="286" spans="1:6" ht="13.5">
      <c r="A286" s="86"/>
      <c r="B286" s="91"/>
      <c r="C286" s="92"/>
      <c r="D286" s="82"/>
      <c r="E286" s="82"/>
      <c r="F286" s="96"/>
    </row>
    <row r="287" spans="1:6" ht="13.5">
      <c r="A287" s="86"/>
      <c r="B287" s="91"/>
      <c r="C287" s="92"/>
      <c r="D287" s="82"/>
      <c r="E287" s="82"/>
      <c r="F287" s="96"/>
    </row>
    <row r="288" spans="1:6" ht="13.5">
      <c r="A288" s="86"/>
      <c r="B288" s="91"/>
      <c r="C288" s="92"/>
      <c r="D288" s="82"/>
      <c r="E288" s="82"/>
      <c r="F288" s="96"/>
    </row>
    <row r="289" spans="1:6" ht="13.5">
      <c r="A289" s="86"/>
      <c r="B289" s="91"/>
      <c r="C289" s="92"/>
      <c r="D289" s="82"/>
      <c r="E289" s="82"/>
      <c r="F289" s="96"/>
    </row>
    <row r="290" spans="1:6" ht="13.5">
      <c r="A290" s="86"/>
      <c r="B290" s="91"/>
      <c r="C290" s="92"/>
      <c r="D290" s="82"/>
      <c r="E290" s="82"/>
      <c r="F290" s="96"/>
    </row>
    <row r="291" spans="1:6" ht="13.5">
      <c r="A291" s="86"/>
      <c r="B291" s="91"/>
      <c r="C291" s="92"/>
      <c r="D291" s="82"/>
      <c r="E291" s="82"/>
      <c r="F291" s="96"/>
    </row>
    <row r="292" spans="1:6" ht="13.5">
      <c r="A292" s="86"/>
      <c r="B292" s="91"/>
      <c r="C292" s="92"/>
      <c r="D292" s="82"/>
      <c r="E292" s="82"/>
      <c r="F292" s="96"/>
    </row>
    <row r="293" spans="1:6" ht="13.5">
      <c r="A293" s="86"/>
      <c r="B293" s="91"/>
      <c r="C293" s="92"/>
      <c r="D293" s="82"/>
      <c r="E293" s="82"/>
      <c r="F293" s="96"/>
    </row>
    <row r="294" spans="1:6" ht="13.5">
      <c r="A294" s="86"/>
      <c r="B294" s="91"/>
      <c r="C294" s="92"/>
      <c r="D294" s="82"/>
      <c r="E294" s="82"/>
      <c r="F294" s="96"/>
    </row>
    <row r="295" spans="1:6" ht="13.5">
      <c r="A295" s="86"/>
      <c r="B295" s="91"/>
      <c r="C295" s="92"/>
      <c r="D295" s="82"/>
      <c r="E295" s="82"/>
      <c r="F295" s="96"/>
    </row>
    <row r="296" spans="1:6" ht="13.5">
      <c r="A296" s="86"/>
      <c r="B296" s="91"/>
      <c r="C296" s="92"/>
      <c r="D296" s="82"/>
      <c r="E296" s="82"/>
      <c r="F296" s="96"/>
    </row>
    <row r="297" spans="1:6" ht="13.5">
      <c r="A297" s="86"/>
      <c r="B297" s="91"/>
      <c r="C297" s="92"/>
      <c r="D297" s="82"/>
      <c r="E297" s="82"/>
      <c r="F297" s="96"/>
    </row>
    <row r="298" spans="1:6" ht="13.5">
      <c r="A298" s="86"/>
      <c r="B298" s="91"/>
      <c r="C298" s="92"/>
      <c r="D298" s="82"/>
      <c r="E298" s="82"/>
      <c r="F298" s="96"/>
    </row>
    <row r="299" spans="1:6" ht="13.5">
      <c r="A299" s="86"/>
      <c r="B299" s="91"/>
      <c r="C299" s="92"/>
      <c r="D299" s="82"/>
      <c r="E299" s="82"/>
      <c r="F299" s="96"/>
    </row>
    <row r="300" spans="1:6" ht="13.5">
      <c r="A300" s="86"/>
      <c r="B300" s="91"/>
      <c r="C300" s="92"/>
      <c r="D300" s="82"/>
      <c r="E300" s="82"/>
      <c r="F300" s="96"/>
    </row>
    <row r="301" spans="1:6" ht="13.5">
      <c r="A301" s="86"/>
      <c r="B301" s="91"/>
      <c r="C301" s="92"/>
      <c r="D301" s="82"/>
      <c r="E301" s="82"/>
      <c r="F301" s="96"/>
    </row>
    <row r="302" spans="1:6" ht="13.5">
      <c r="A302" s="86"/>
      <c r="B302" s="91"/>
      <c r="C302" s="92"/>
      <c r="D302" s="82"/>
      <c r="E302" s="82"/>
      <c r="F302" s="96"/>
    </row>
    <row r="303" spans="1:6" ht="13.5">
      <c r="A303" s="86"/>
      <c r="B303" s="91"/>
      <c r="C303" s="92"/>
      <c r="D303" s="82"/>
      <c r="E303" s="82"/>
      <c r="F303" s="96"/>
    </row>
    <row r="304" spans="1:6" ht="13.5">
      <c r="A304" s="86"/>
      <c r="B304" s="91"/>
      <c r="C304" s="92"/>
      <c r="D304" s="82"/>
      <c r="E304" s="82"/>
      <c r="F304" s="96"/>
    </row>
    <row r="305" spans="1:6" ht="13.5">
      <c r="A305" s="86"/>
      <c r="B305" s="91"/>
      <c r="C305" s="92"/>
      <c r="D305" s="82"/>
      <c r="E305" s="82"/>
      <c r="F305" s="96"/>
    </row>
    <row r="306" spans="1:6" ht="13.5">
      <c r="A306" s="86"/>
      <c r="B306" s="91"/>
      <c r="C306" s="92"/>
      <c r="D306" s="82"/>
      <c r="E306" s="82"/>
      <c r="F306" s="96"/>
    </row>
    <row r="307" spans="1:6" ht="13.5">
      <c r="A307" s="86"/>
      <c r="B307" s="91"/>
      <c r="C307" s="92"/>
      <c r="D307" s="82"/>
      <c r="E307" s="82"/>
      <c r="F307" s="96"/>
    </row>
    <row r="308" spans="1:6" ht="13.5">
      <c r="A308" s="86"/>
      <c r="B308" s="91"/>
      <c r="C308" s="92"/>
      <c r="D308" s="82"/>
      <c r="E308" s="82"/>
      <c r="F308" s="96"/>
    </row>
    <row r="309" spans="1:6" ht="13.5">
      <c r="A309" s="86"/>
      <c r="B309" s="91"/>
      <c r="C309" s="92"/>
      <c r="D309" s="82"/>
      <c r="E309" s="82"/>
      <c r="F309" s="96"/>
    </row>
    <row r="310" spans="1:6" ht="13.5">
      <c r="A310" s="86"/>
      <c r="B310" s="91"/>
      <c r="C310" s="92"/>
      <c r="D310" s="82"/>
      <c r="E310" s="82"/>
      <c r="F310" s="96"/>
    </row>
    <row r="311" spans="1:6" ht="13.5">
      <c r="A311" s="86"/>
      <c r="B311" s="91"/>
      <c r="C311" s="92"/>
      <c r="D311" s="82"/>
      <c r="E311" s="82"/>
      <c r="F311" s="96"/>
    </row>
    <row r="312" spans="1:6" ht="13.5">
      <c r="A312" s="86"/>
      <c r="B312" s="91"/>
      <c r="C312" s="92"/>
      <c r="D312" s="82"/>
      <c r="E312" s="82"/>
      <c r="F312" s="96"/>
    </row>
    <row r="313" spans="1:6" ht="13.5">
      <c r="A313" s="86"/>
      <c r="B313" s="91"/>
      <c r="C313" s="92"/>
      <c r="D313" s="82"/>
      <c r="E313" s="82"/>
      <c r="F313" s="96"/>
    </row>
    <row r="314" spans="1:6" ht="13.5">
      <c r="A314" s="86"/>
      <c r="B314" s="91"/>
      <c r="C314" s="92"/>
      <c r="D314" s="82"/>
      <c r="E314" s="82"/>
      <c r="F314" s="96"/>
    </row>
    <row r="315" spans="1:6" ht="13.5">
      <c r="A315" s="86"/>
      <c r="B315" s="91"/>
      <c r="C315" s="92"/>
      <c r="D315" s="82"/>
      <c r="E315" s="82"/>
      <c r="F315" s="96"/>
    </row>
    <row r="316" spans="1:6" ht="13.5">
      <c r="A316" s="86"/>
      <c r="B316" s="91"/>
      <c r="C316" s="92"/>
      <c r="D316" s="82"/>
      <c r="E316" s="82"/>
      <c r="F316" s="96"/>
    </row>
    <row r="317" spans="1:6" ht="13.5">
      <c r="A317" s="86"/>
      <c r="B317" s="91"/>
      <c r="C317" s="92"/>
      <c r="D317" s="82"/>
      <c r="E317" s="82"/>
      <c r="F317" s="96"/>
    </row>
    <row r="318" spans="1:6" ht="13.5">
      <c r="A318" s="86"/>
      <c r="B318" s="91"/>
      <c r="C318" s="92"/>
      <c r="D318" s="82"/>
      <c r="E318" s="82"/>
      <c r="F318" s="96"/>
    </row>
    <row r="319" spans="1:6" ht="13.5">
      <c r="A319" s="86"/>
      <c r="B319" s="91"/>
      <c r="C319" s="92"/>
      <c r="D319" s="82"/>
      <c r="E319" s="82"/>
      <c r="F319" s="96"/>
    </row>
    <row r="320" spans="1:6" ht="13.5">
      <c r="A320" s="86"/>
      <c r="B320" s="91"/>
      <c r="C320" s="92"/>
      <c r="D320" s="82"/>
      <c r="E320" s="82"/>
      <c r="F320" s="96"/>
    </row>
    <row r="321" spans="1:6" ht="13.5">
      <c r="A321" s="86"/>
      <c r="B321" s="91"/>
      <c r="C321" s="92"/>
      <c r="D321" s="82"/>
      <c r="E321" s="82"/>
      <c r="F321" s="96"/>
    </row>
    <row r="322" spans="1:6" ht="13.5">
      <c r="A322" s="86"/>
      <c r="B322" s="91"/>
      <c r="C322" s="92"/>
      <c r="D322" s="82"/>
      <c r="E322" s="82"/>
      <c r="F322" s="96"/>
    </row>
    <row r="323" spans="1:6" ht="13.5">
      <c r="A323" s="86"/>
      <c r="B323" s="91"/>
      <c r="C323" s="92"/>
      <c r="D323" s="82"/>
      <c r="E323" s="82"/>
      <c r="F323" s="96"/>
    </row>
    <row r="324" spans="1:6" ht="13.5">
      <c r="A324" s="86"/>
      <c r="B324" s="91"/>
      <c r="C324" s="92"/>
      <c r="D324" s="82"/>
      <c r="E324" s="82"/>
      <c r="F324" s="96"/>
    </row>
    <row r="325" spans="1:6" ht="13.5">
      <c r="A325" s="86"/>
      <c r="B325" s="91"/>
      <c r="C325" s="92"/>
      <c r="D325" s="82"/>
      <c r="E325" s="82"/>
      <c r="F325" s="96"/>
    </row>
    <row r="326" spans="1:6" ht="13.5">
      <c r="A326" s="86"/>
      <c r="B326" s="91"/>
      <c r="C326" s="92"/>
      <c r="D326" s="82"/>
      <c r="E326" s="82"/>
      <c r="F326" s="96"/>
    </row>
    <row r="327" spans="1:6" ht="13.5">
      <c r="A327" s="86"/>
      <c r="B327" s="91"/>
      <c r="C327" s="92"/>
      <c r="D327" s="82"/>
      <c r="E327" s="82"/>
      <c r="F327" s="96"/>
    </row>
    <row r="328" spans="1:6" ht="13.5">
      <c r="A328" s="86"/>
      <c r="B328" s="91"/>
      <c r="C328" s="92"/>
      <c r="D328" s="82"/>
      <c r="E328" s="82"/>
      <c r="F328" s="96"/>
    </row>
    <row r="329" spans="1:6" ht="13.5">
      <c r="A329" s="86"/>
      <c r="B329" s="91"/>
      <c r="C329" s="92"/>
      <c r="D329" s="82"/>
      <c r="E329" s="82"/>
      <c r="F329" s="96"/>
    </row>
    <row r="330" spans="1:6" ht="13.5">
      <c r="A330" s="86"/>
      <c r="B330" s="91"/>
      <c r="C330" s="92"/>
      <c r="D330" s="82"/>
      <c r="E330" s="82"/>
      <c r="F330" s="96"/>
    </row>
    <row r="331" spans="1:6" ht="13.5">
      <c r="A331" s="86"/>
      <c r="B331" s="91"/>
      <c r="C331" s="92"/>
      <c r="D331" s="82"/>
      <c r="E331" s="82"/>
      <c r="F331" s="96"/>
    </row>
    <row r="332" spans="1:6" ht="13.5">
      <c r="A332" s="86"/>
      <c r="B332" s="91"/>
      <c r="C332" s="92"/>
      <c r="D332" s="82"/>
      <c r="E332" s="82"/>
      <c r="F332" s="96"/>
    </row>
    <row r="333" spans="1:6" ht="13.5">
      <c r="A333" s="86"/>
      <c r="B333" s="91"/>
      <c r="C333" s="92"/>
      <c r="D333" s="82"/>
      <c r="E333" s="82"/>
      <c r="F333" s="96"/>
    </row>
    <row r="334" spans="1:6" ht="13.5">
      <c r="A334" s="86"/>
      <c r="B334" s="91"/>
      <c r="C334" s="92"/>
      <c r="D334" s="82"/>
      <c r="E334" s="82"/>
      <c r="F334" s="96"/>
    </row>
    <row r="335" spans="1:6" ht="13.5">
      <c r="A335" s="86"/>
      <c r="B335" s="91"/>
      <c r="C335" s="92"/>
      <c r="D335" s="82"/>
      <c r="E335" s="82"/>
      <c r="F335" s="96"/>
    </row>
    <row r="336" spans="1:6" ht="13.5">
      <c r="A336" s="86"/>
      <c r="B336" s="91"/>
      <c r="C336" s="92"/>
      <c r="D336" s="82"/>
      <c r="E336" s="82"/>
      <c r="F336" s="96"/>
    </row>
    <row r="337" spans="1:6" ht="13.5">
      <c r="A337" s="86"/>
      <c r="B337" s="91"/>
      <c r="C337" s="92"/>
      <c r="D337" s="82"/>
      <c r="E337" s="82"/>
      <c r="F337" s="96"/>
    </row>
    <row r="338" spans="1:6" ht="13.5">
      <c r="A338" s="86"/>
      <c r="B338" s="91"/>
      <c r="C338" s="92"/>
      <c r="D338" s="82"/>
      <c r="E338" s="82"/>
      <c r="F338" s="96"/>
    </row>
    <row r="339" spans="1:6" ht="13.5">
      <c r="A339" s="86"/>
      <c r="B339" s="91"/>
      <c r="C339" s="92"/>
      <c r="D339" s="82"/>
      <c r="E339" s="82"/>
      <c r="F339" s="96"/>
    </row>
    <row r="340" spans="1:6" ht="13.5">
      <c r="A340" s="86"/>
      <c r="B340" s="91"/>
      <c r="C340" s="92"/>
      <c r="D340" s="82"/>
      <c r="E340" s="82"/>
      <c r="F340" s="96"/>
    </row>
    <row r="341" spans="1:6" ht="13.5">
      <c r="A341" s="86"/>
      <c r="B341" s="91"/>
      <c r="C341" s="92"/>
      <c r="D341" s="82"/>
      <c r="E341" s="82"/>
      <c r="F341" s="96"/>
    </row>
    <row r="342" spans="1:6" ht="13.5">
      <c r="A342" s="86"/>
      <c r="B342" s="91"/>
      <c r="C342" s="92"/>
      <c r="D342" s="82"/>
      <c r="E342" s="82"/>
      <c r="F342" s="96"/>
    </row>
    <row r="343" spans="1:6" ht="13.5">
      <c r="A343" s="86"/>
      <c r="B343" s="91"/>
      <c r="C343" s="92"/>
      <c r="D343" s="82"/>
      <c r="E343" s="82"/>
      <c r="F343" s="96"/>
    </row>
    <row r="344" spans="1:6" ht="13.5">
      <c r="A344" s="86"/>
      <c r="B344" s="91"/>
      <c r="C344" s="92"/>
      <c r="D344" s="82"/>
      <c r="E344" s="82"/>
      <c r="F344" s="96"/>
    </row>
    <row r="345" spans="1:6" ht="13.5">
      <c r="A345" s="86"/>
      <c r="B345" s="91"/>
      <c r="C345" s="92"/>
      <c r="D345" s="82"/>
      <c r="E345" s="82"/>
      <c r="F345" s="96"/>
    </row>
    <row r="346" spans="1:6" ht="13.5">
      <c r="A346" s="86"/>
      <c r="B346" s="91"/>
      <c r="C346" s="92"/>
      <c r="D346" s="82"/>
      <c r="E346" s="82"/>
      <c r="F346" s="96"/>
    </row>
    <row r="347" spans="1:6" ht="13.5">
      <c r="A347" s="86"/>
      <c r="B347" s="91"/>
      <c r="C347" s="92"/>
      <c r="D347" s="82"/>
      <c r="E347" s="82"/>
      <c r="F347" s="96"/>
    </row>
    <row r="348" spans="1:6" ht="13.5">
      <c r="A348" s="86"/>
      <c r="B348" s="91"/>
      <c r="C348" s="92"/>
      <c r="D348" s="82"/>
      <c r="E348" s="82"/>
      <c r="F348" s="96"/>
    </row>
    <row r="349" spans="1:6" ht="13.5">
      <c r="A349" s="86"/>
      <c r="B349" s="91"/>
      <c r="C349" s="92"/>
      <c r="D349" s="82"/>
      <c r="E349" s="82"/>
      <c r="F349" s="96"/>
    </row>
    <row r="350" spans="1:6" ht="13.5">
      <c r="A350" s="86"/>
      <c r="B350" s="91"/>
      <c r="C350" s="92"/>
      <c r="D350" s="82"/>
      <c r="E350" s="82"/>
      <c r="F350" s="96"/>
    </row>
    <row r="351" spans="1:6" ht="13.5">
      <c r="A351" s="86"/>
      <c r="B351" s="91"/>
      <c r="C351" s="92"/>
      <c r="D351" s="82"/>
      <c r="E351" s="82"/>
      <c r="F351" s="96"/>
    </row>
    <row r="352" spans="1:6" ht="13.5">
      <c r="A352" s="86"/>
      <c r="B352" s="91"/>
      <c r="C352" s="92"/>
      <c r="D352" s="82"/>
      <c r="E352" s="82"/>
      <c r="F352" s="96"/>
    </row>
    <row r="353" spans="1:6" ht="13.5">
      <c r="A353" s="86"/>
      <c r="B353" s="91"/>
      <c r="C353" s="92"/>
      <c r="D353" s="82"/>
      <c r="E353" s="82"/>
      <c r="F353" s="96"/>
    </row>
    <row r="354" spans="1:6" ht="13.5">
      <c r="A354" s="86"/>
      <c r="B354" s="91"/>
      <c r="C354" s="92"/>
      <c r="D354" s="82"/>
      <c r="E354" s="82"/>
      <c r="F354" s="96"/>
    </row>
    <row r="355" spans="1:6" ht="13.5">
      <c r="A355" s="86"/>
      <c r="B355" s="91"/>
      <c r="C355" s="92"/>
      <c r="D355" s="82"/>
      <c r="E355" s="82"/>
      <c r="F355" s="96"/>
    </row>
    <row r="356" spans="1:6" ht="13.5">
      <c r="A356" s="86"/>
      <c r="B356" s="91"/>
      <c r="C356" s="92"/>
      <c r="D356" s="82"/>
      <c r="E356" s="82"/>
      <c r="F356" s="96"/>
    </row>
    <row r="357" spans="1:6" ht="13.5">
      <c r="A357" s="86"/>
      <c r="B357" s="91"/>
      <c r="C357" s="92"/>
      <c r="D357" s="82"/>
      <c r="E357" s="82"/>
      <c r="F357" s="96"/>
    </row>
    <row r="358" spans="1:6" ht="13.5">
      <c r="A358" s="86"/>
      <c r="B358" s="91"/>
      <c r="C358" s="92"/>
      <c r="D358" s="82"/>
      <c r="E358" s="82"/>
      <c r="F358" s="96"/>
    </row>
    <row r="359" spans="1:6" ht="13.5">
      <c r="A359" s="86"/>
      <c r="B359" s="91"/>
      <c r="C359" s="92"/>
      <c r="D359" s="82"/>
      <c r="E359" s="82"/>
      <c r="F359" s="96"/>
    </row>
    <row r="360" spans="1:6" ht="13.5">
      <c r="A360" s="86"/>
      <c r="B360" s="91"/>
      <c r="C360" s="92"/>
      <c r="D360" s="82"/>
      <c r="E360" s="82"/>
      <c r="F360" s="96"/>
    </row>
    <row r="361" spans="1:6" ht="13.5">
      <c r="A361" s="86"/>
      <c r="B361" s="91"/>
      <c r="C361" s="92"/>
      <c r="D361" s="82"/>
      <c r="E361" s="82"/>
      <c r="F361" s="96"/>
    </row>
    <row r="362" spans="1:6" ht="13.5">
      <c r="A362" s="86"/>
      <c r="B362" s="91"/>
      <c r="C362" s="92"/>
      <c r="D362" s="82"/>
      <c r="E362" s="82"/>
      <c r="F362" s="96"/>
    </row>
    <row r="363" spans="1:6" ht="13.5">
      <c r="A363" s="86"/>
      <c r="B363" s="91"/>
      <c r="C363" s="92"/>
      <c r="D363" s="82"/>
      <c r="E363" s="82"/>
      <c r="F363" s="96"/>
    </row>
    <row r="364" spans="1:6" ht="13.5">
      <c r="A364" s="86"/>
      <c r="B364" s="91"/>
      <c r="C364" s="92"/>
      <c r="D364" s="82"/>
      <c r="E364" s="82"/>
      <c r="F364" s="96"/>
    </row>
    <row r="365" spans="1:6" ht="13.5">
      <c r="A365" s="86"/>
      <c r="B365" s="91"/>
      <c r="C365" s="92"/>
      <c r="D365" s="82"/>
      <c r="E365" s="82"/>
      <c r="F365" s="96"/>
    </row>
    <row r="366" spans="1:6" ht="13.5">
      <c r="A366" s="86"/>
      <c r="B366" s="91"/>
      <c r="C366" s="92"/>
      <c r="D366" s="82"/>
      <c r="E366" s="82"/>
      <c r="F366" s="96"/>
    </row>
    <row r="367" spans="1:6" ht="13.5">
      <c r="A367" s="86"/>
      <c r="B367" s="91"/>
      <c r="C367" s="92"/>
      <c r="D367" s="82"/>
      <c r="E367" s="82"/>
      <c r="F367" s="96"/>
    </row>
    <row r="368" spans="1:6" ht="13.5">
      <c r="A368" s="86"/>
      <c r="B368" s="91"/>
      <c r="C368" s="92"/>
      <c r="D368" s="82"/>
      <c r="E368" s="82"/>
      <c r="F368" s="96"/>
    </row>
    <row r="369" spans="1:6" ht="13.5">
      <c r="A369" s="86"/>
      <c r="B369" s="91"/>
      <c r="C369" s="92"/>
      <c r="D369" s="82"/>
      <c r="E369" s="82"/>
      <c r="F369" s="96"/>
    </row>
    <row r="370" spans="1:6" ht="13.5">
      <c r="A370" s="86"/>
      <c r="B370" s="91"/>
      <c r="C370" s="92"/>
      <c r="D370" s="82"/>
      <c r="E370" s="82"/>
      <c r="F370" s="96"/>
    </row>
    <row r="371" spans="1:6" ht="13.5">
      <c r="A371" s="86"/>
      <c r="B371" s="91"/>
      <c r="C371" s="92"/>
      <c r="D371" s="82"/>
      <c r="E371" s="82"/>
      <c r="F371" s="96"/>
    </row>
    <row r="372" spans="1:6" ht="13.5">
      <c r="A372" s="86"/>
      <c r="B372" s="91"/>
      <c r="C372" s="92"/>
      <c r="D372" s="82"/>
      <c r="E372" s="82"/>
      <c r="F372" s="96"/>
    </row>
    <row r="373" spans="1:6" ht="13.5">
      <c r="A373" s="86"/>
      <c r="B373" s="91"/>
      <c r="C373" s="92"/>
      <c r="D373" s="82"/>
      <c r="E373" s="82"/>
      <c r="F373" s="96"/>
    </row>
    <row r="374" spans="1:6" ht="13.5">
      <c r="A374" s="86"/>
      <c r="B374" s="91"/>
      <c r="C374" s="92"/>
      <c r="D374" s="82"/>
      <c r="E374" s="82"/>
      <c r="F374" s="96"/>
    </row>
    <row r="375" spans="1:6" ht="13.5">
      <c r="A375" s="86"/>
      <c r="B375" s="91"/>
      <c r="C375" s="92"/>
      <c r="D375" s="82"/>
      <c r="E375" s="82"/>
      <c r="F375" s="96"/>
    </row>
    <row r="376" spans="1:6" ht="13.5">
      <c r="A376" s="86"/>
      <c r="B376" s="91"/>
      <c r="C376" s="92"/>
      <c r="D376" s="82"/>
      <c r="E376" s="82"/>
      <c r="F376" s="96"/>
    </row>
    <row r="377" spans="1:6" ht="13.5">
      <c r="A377" s="86"/>
      <c r="B377" s="91"/>
      <c r="C377" s="92"/>
      <c r="D377" s="82"/>
      <c r="E377" s="82"/>
      <c r="F377" s="96"/>
    </row>
    <row r="378" spans="1:6" ht="13.5">
      <c r="A378" s="86"/>
      <c r="B378" s="91"/>
      <c r="C378" s="92"/>
      <c r="D378" s="82"/>
      <c r="E378" s="82"/>
      <c r="F378" s="96"/>
    </row>
    <row r="379" spans="1:6" ht="13.5">
      <c r="A379" s="86"/>
      <c r="B379" s="91"/>
      <c r="C379" s="92"/>
      <c r="D379" s="82"/>
      <c r="E379" s="82"/>
      <c r="F379" s="96"/>
    </row>
    <row r="380" spans="1:6" ht="13.5">
      <c r="A380" s="86"/>
      <c r="B380" s="91"/>
      <c r="C380" s="92"/>
      <c r="D380" s="82"/>
      <c r="E380" s="82"/>
      <c r="F380" s="96"/>
    </row>
    <row r="381" spans="1:6" ht="13.5">
      <c r="A381" s="86"/>
      <c r="B381" s="91"/>
      <c r="C381" s="92"/>
      <c r="D381" s="82"/>
      <c r="E381" s="82"/>
      <c r="F381" s="96"/>
    </row>
    <row r="382" spans="1:6" ht="13.5">
      <c r="A382" s="86"/>
      <c r="B382" s="91"/>
      <c r="C382" s="92"/>
      <c r="D382" s="82"/>
      <c r="E382" s="82"/>
      <c r="F382" s="96"/>
    </row>
    <row r="383" spans="1:6" ht="13.5">
      <c r="A383" s="86"/>
      <c r="B383" s="91"/>
      <c r="C383" s="92"/>
      <c r="D383" s="82"/>
      <c r="E383" s="82"/>
      <c r="F383" s="96"/>
    </row>
    <row r="384" spans="1:6" ht="13.5">
      <c r="A384" s="86"/>
      <c r="B384" s="91"/>
      <c r="C384" s="92"/>
      <c r="D384" s="82"/>
      <c r="E384" s="82"/>
      <c r="F384" s="96"/>
    </row>
    <row r="385" spans="1:6" ht="13.5">
      <c r="A385" s="86"/>
      <c r="B385" s="91"/>
      <c r="C385" s="92"/>
      <c r="D385" s="82"/>
      <c r="E385" s="82"/>
      <c r="F385" s="96"/>
    </row>
    <row r="386" spans="1:6" ht="13.5">
      <c r="A386" s="86"/>
      <c r="B386" s="91"/>
      <c r="C386" s="92"/>
      <c r="D386" s="82"/>
      <c r="E386" s="82"/>
      <c r="F386" s="96"/>
    </row>
    <row r="387" spans="1:6" ht="13.5">
      <c r="A387" s="86"/>
      <c r="B387" s="91"/>
      <c r="C387" s="92"/>
      <c r="D387" s="82"/>
      <c r="E387" s="82"/>
      <c r="F387" s="96"/>
    </row>
    <row r="388" spans="1:6" ht="13.5">
      <c r="A388" s="86"/>
      <c r="B388" s="91"/>
      <c r="C388" s="92"/>
      <c r="D388" s="82"/>
      <c r="E388" s="82"/>
      <c r="F388" s="96"/>
    </row>
    <row r="389" spans="1:6" ht="13.5">
      <c r="A389" s="86"/>
      <c r="B389" s="91"/>
      <c r="C389" s="92"/>
      <c r="D389" s="82"/>
      <c r="E389" s="82"/>
      <c r="F389" s="96"/>
    </row>
    <row r="390" spans="1:6" ht="13.5">
      <c r="A390" s="86"/>
      <c r="B390" s="91"/>
      <c r="C390" s="92"/>
      <c r="D390" s="82"/>
      <c r="E390" s="82"/>
      <c r="F390" s="96"/>
    </row>
    <row r="391" spans="1:6" ht="13.5">
      <c r="A391" s="86"/>
      <c r="B391" s="91"/>
      <c r="C391" s="92"/>
      <c r="D391" s="82"/>
      <c r="E391" s="82"/>
      <c r="F391" s="96"/>
    </row>
    <row r="392" spans="1:6" ht="13.5">
      <c r="A392" s="86"/>
      <c r="B392" s="91"/>
      <c r="C392" s="92"/>
      <c r="D392" s="82"/>
      <c r="E392" s="82"/>
      <c r="F392" s="96"/>
    </row>
    <row r="393" spans="1:6" ht="13.5">
      <c r="A393" s="86"/>
      <c r="B393" s="91"/>
      <c r="C393" s="92"/>
      <c r="D393" s="82"/>
      <c r="E393" s="82"/>
      <c r="F393" s="96"/>
    </row>
    <row r="394" spans="1:6" ht="13.5">
      <c r="A394" s="86"/>
      <c r="B394" s="91"/>
      <c r="C394" s="92"/>
      <c r="D394" s="82"/>
      <c r="E394" s="82"/>
      <c r="F394" s="96"/>
    </row>
    <row r="395" spans="1:6" ht="13.5">
      <c r="A395" s="86"/>
      <c r="B395" s="91"/>
      <c r="C395" s="92"/>
      <c r="D395" s="82"/>
      <c r="E395" s="82"/>
      <c r="F395" s="96"/>
    </row>
    <row r="396" spans="1:6" ht="13.5">
      <c r="A396" s="86"/>
      <c r="B396" s="91"/>
      <c r="C396" s="92"/>
      <c r="D396" s="82"/>
      <c r="E396" s="82"/>
      <c r="F396" s="96"/>
    </row>
    <row r="397" spans="1:6" ht="13.5">
      <c r="A397" s="86"/>
      <c r="B397" s="91"/>
      <c r="C397" s="92"/>
      <c r="D397" s="82"/>
      <c r="E397" s="82"/>
      <c r="F397" s="96"/>
    </row>
    <row r="398" spans="1:6" ht="13.5">
      <c r="A398" s="86"/>
      <c r="B398" s="91"/>
      <c r="C398" s="92"/>
      <c r="D398" s="82"/>
      <c r="E398" s="82"/>
      <c r="F398" s="96"/>
    </row>
    <row r="399" spans="1:6" ht="13.5">
      <c r="A399" s="86"/>
      <c r="B399" s="91"/>
      <c r="C399" s="92"/>
      <c r="D399" s="82"/>
      <c r="E399" s="82"/>
      <c r="F399" s="96"/>
    </row>
    <row r="400" spans="1:6" ht="13.5">
      <c r="A400" s="86"/>
      <c r="B400" s="91"/>
      <c r="C400" s="92"/>
      <c r="D400" s="82"/>
      <c r="E400" s="82"/>
      <c r="F400" s="96"/>
    </row>
    <row r="401" spans="1:6" ht="13.5">
      <c r="A401" s="86"/>
      <c r="B401" s="91"/>
      <c r="C401" s="92"/>
      <c r="D401" s="82"/>
      <c r="E401" s="82"/>
      <c r="F401" s="96"/>
    </row>
    <row r="402" spans="1:6" ht="13.5">
      <c r="A402" s="86"/>
      <c r="B402" s="91"/>
      <c r="C402" s="92"/>
      <c r="D402" s="82"/>
      <c r="E402" s="82"/>
      <c r="F402" s="96"/>
    </row>
    <row r="403" spans="1:6" ht="13.5">
      <c r="A403" s="86"/>
      <c r="B403" s="91"/>
      <c r="C403" s="92"/>
      <c r="D403" s="82"/>
      <c r="E403" s="82"/>
      <c r="F403" s="96"/>
    </row>
    <row r="404" spans="1:6" ht="13.5">
      <c r="A404" s="86"/>
      <c r="B404" s="91"/>
      <c r="C404" s="92"/>
      <c r="D404" s="82"/>
      <c r="E404" s="82"/>
      <c r="F404" s="96"/>
    </row>
    <row r="405" spans="1:6" ht="13.5">
      <c r="A405" s="86"/>
      <c r="B405" s="91"/>
      <c r="C405" s="92"/>
      <c r="D405" s="82"/>
      <c r="E405" s="82"/>
      <c r="F405" s="96"/>
    </row>
    <row r="406" spans="1:6" ht="13.5">
      <c r="A406" s="86"/>
      <c r="B406" s="91"/>
      <c r="C406" s="92"/>
      <c r="D406" s="82"/>
      <c r="E406" s="82"/>
      <c r="F406" s="96"/>
    </row>
    <row r="407" spans="1:6" ht="13.5">
      <c r="A407" s="86"/>
      <c r="B407" s="91"/>
      <c r="C407" s="92"/>
      <c r="D407" s="82"/>
      <c r="E407" s="82"/>
      <c r="F407" s="96"/>
    </row>
    <row r="408" spans="1:6" ht="13.5">
      <c r="A408" s="86"/>
      <c r="B408" s="91"/>
      <c r="C408" s="92"/>
      <c r="D408" s="82"/>
      <c r="E408" s="82"/>
      <c r="F408" s="96"/>
    </row>
    <row r="409" spans="1:6" ht="13.5">
      <c r="A409" s="86"/>
      <c r="B409" s="91"/>
      <c r="C409" s="92"/>
      <c r="D409" s="82"/>
      <c r="E409" s="82"/>
      <c r="F409" s="96"/>
    </row>
    <row r="410" spans="1:6" ht="13.5">
      <c r="A410" s="86"/>
      <c r="B410" s="91"/>
      <c r="C410" s="92"/>
      <c r="D410" s="82"/>
      <c r="E410" s="82"/>
      <c r="F410" s="96"/>
    </row>
    <row r="411" spans="1:6" ht="13.5">
      <c r="A411" s="86"/>
      <c r="B411" s="91"/>
      <c r="C411" s="92"/>
      <c r="D411" s="82"/>
      <c r="E411" s="82"/>
      <c r="F411" s="96"/>
    </row>
    <row r="412" spans="1:6" ht="13.5">
      <c r="A412" s="86"/>
      <c r="B412" s="91"/>
      <c r="C412" s="92"/>
      <c r="D412" s="82"/>
      <c r="E412" s="82"/>
      <c r="F412" s="96"/>
    </row>
    <row r="413" spans="1:6" ht="13.5">
      <c r="A413" s="86"/>
      <c r="B413" s="91"/>
      <c r="C413" s="92"/>
      <c r="D413" s="82"/>
      <c r="E413" s="82"/>
      <c r="F413" s="96"/>
    </row>
    <row r="414" spans="1:6" ht="13.5">
      <c r="A414" s="86"/>
      <c r="B414" s="91"/>
      <c r="C414" s="92"/>
      <c r="D414" s="82"/>
      <c r="E414" s="82"/>
      <c r="F414" s="96"/>
    </row>
    <row r="415" spans="1:6" ht="13.5">
      <c r="A415" s="86"/>
      <c r="B415" s="91"/>
      <c r="C415" s="92"/>
      <c r="D415" s="82"/>
      <c r="E415" s="82"/>
      <c r="F415" s="96"/>
    </row>
    <row r="416" spans="1:6" ht="13.5">
      <c r="A416" s="86"/>
      <c r="B416" s="91"/>
      <c r="C416" s="92"/>
      <c r="D416" s="82"/>
      <c r="E416" s="82"/>
      <c r="F416" s="96"/>
    </row>
    <row r="417" spans="1:6" ht="13.5">
      <c r="A417" s="86"/>
      <c r="B417" s="91"/>
      <c r="C417" s="92"/>
      <c r="D417" s="82"/>
      <c r="E417" s="82"/>
      <c r="F417" s="96"/>
    </row>
    <row r="418" spans="1:6" ht="13.5">
      <c r="A418" s="86"/>
      <c r="B418" s="91"/>
      <c r="C418" s="92"/>
      <c r="D418" s="82"/>
      <c r="E418" s="82"/>
      <c r="F418" s="96"/>
    </row>
    <row r="419" spans="1:6" ht="13.5">
      <c r="A419" s="86"/>
      <c r="B419" s="91"/>
      <c r="C419" s="92"/>
      <c r="D419" s="82"/>
      <c r="E419" s="82"/>
      <c r="F419" s="96"/>
    </row>
    <row r="420" spans="1:6" ht="13.5">
      <c r="A420" s="86"/>
      <c r="B420" s="91"/>
      <c r="C420" s="92"/>
      <c r="D420" s="82"/>
      <c r="E420" s="82"/>
      <c r="F420" s="96"/>
    </row>
    <row r="421" spans="1:6" ht="13.5">
      <c r="A421" s="86"/>
      <c r="B421" s="91"/>
      <c r="C421" s="92"/>
      <c r="D421" s="82"/>
      <c r="E421" s="82"/>
      <c r="F421" s="96"/>
    </row>
    <row r="422" spans="1:6" ht="13.5">
      <c r="A422" s="86"/>
      <c r="B422" s="91"/>
      <c r="C422" s="92"/>
      <c r="D422" s="82"/>
      <c r="E422" s="82"/>
      <c r="F422" s="96"/>
    </row>
    <row r="423" spans="1:6" ht="13.5">
      <c r="A423" s="86"/>
      <c r="B423" s="91"/>
      <c r="C423" s="92"/>
      <c r="D423" s="82"/>
      <c r="E423" s="82"/>
      <c r="F423" s="96"/>
    </row>
    <row r="424" spans="1:6" ht="13.5">
      <c r="A424" s="86"/>
      <c r="B424" s="91"/>
      <c r="C424" s="92"/>
      <c r="D424" s="82"/>
      <c r="E424" s="82"/>
      <c r="F424" s="96"/>
    </row>
    <row r="425" spans="1:6" ht="13.5">
      <c r="A425" s="86"/>
      <c r="B425" s="91"/>
      <c r="C425" s="92"/>
      <c r="D425" s="82"/>
      <c r="E425" s="82"/>
      <c r="F425" s="96"/>
    </row>
    <row r="426" spans="1:6" ht="13.5">
      <c r="A426" s="86"/>
      <c r="B426" s="91"/>
      <c r="C426" s="92"/>
      <c r="D426" s="82"/>
      <c r="E426" s="82"/>
      <c r="F426" s="96"/>
    </row>
    <row r="427" spans="1:6" ht="13.5">
      <c r="A427" s="86"/>
      <c r="B427" s="91"/>
      <c r="C427" s="92"/>
      <c r="D427" s="82"/>
      <c r="E427" s="82"/>
      <c r="F427" s="96"/>
    </row>
    <row r="428" spans="1:6" ht="13.5">
      <c r="A428" s="86"/>
      <c r="B428" s="91"/>
      <c r="C428" s="92"/>
      <c r="D428" s="82"/>
      <c r="E428" s="82"/>
      <c r="F428" s="96"/>
    </row>
    <row r="429" spans="1:6" ht="13.5">
      <c r="A429" s="86"/>
      <c r="B429" s="91"/>
      <c r="C429" s="92"/>
      <c r="D429" s="82"/>
      <c r="E429" s="82"/>
      <c r="F429" s="96"/>
    </row>
    <row r="430" spans="1:6" ht="13.5">
      <c r="A430" s="86"/>
      <c r="B430" s="91"/>
      <c r="C430" s="92"/>
      <c r="D430" s="82"/>
      <c r="E430" s="82"/>
      <c r="F430" s="96"/>
    </row>
    <row r="431" spans="1:6" ht="13.5">
      <c r="A431" s="86"/>
      <c r="B431" s="91"/>
      <c r="C431" s="92"/>
      <c r="D431" s="82"/>
      <c r="E431" s="82"/>
      <c r="F431" s="96"/>
    </row>
    <row r="432" spans="1:6" ht="13.5">
      <c r="A432" s="86"/>
      <c r="B432" s="91"/>
      <c r="C432" s="92"/>
      <c r="D432" s="82"/>
      <c r="E432" s="82"/>
      <c r="F432" s="96"/>
    </row>
    <row r="433" spans="1:6" ht="13.5">
      <c r="A433" s="86"/>
      <c r="B433" s="91"/>
      <c r="C433" s="92"/>
      <c r="D433" s="82"/>
      <c r="E433" s="82"/>
      <c r="F433" s="96"/>
    </row>
    <row r="434" spans="1:6" ht="13.5">
      <c r="A434" s="86"/>
      <c r="B434" s="91"/>
      <c r="C434" s="92"/>
      <c r="D434" s="82"/>
      <c r="E434" s="82"/>
      <c r="F434" s="96"/>
    </row>
    <row r="435" spans="1:6" ht="13.5">
      <c r="A435" s="86"/>
      <c r="B435" s="91"/>
      <c r="C435" s="92"/>
      <c r="D435" s="82"/>
      <c r="E435" s="82"/>
      <c r="F435" s="96"/>
    </row>
    <row r="436" spans="1:6" ht="13.5">
      <c r="A436" s="86"/>
      <c r="B436" s="91"/>
      <c r="C436" s="92"/>
      <c r="D436" s="82"/>
      <c r="E436" s="82"/>
      <c r="F436" s="96"/>
    </row>
    <row r="437" spans="1:6" ht="13.5">
      <c r="A437" s="86"/>
      <c r="B437" s="91"/>
      <c r="C437" s="92"/>
      <c r="D437" s="82"/>
      <c r="E437" s="82"/>
      <c r="F437" s="96"/>
    </row>
    <row r="438" spans="1:6" ht="13.5">
      <c r="A438" s="86"/>
      <c r="B438" s="91"/>
      <c r="C438" s="92"/>
      <c r="D438" s="82"/>
      <c r="E438" s="82"/>
      <c r="F438" s="96"/>
    </row>
    <row r="439" spans="1:6" ht="13.5">
      <c r="A439" s="86"/>
      <c r="B439" s="91"/>
      <c r="C439" s="92"/>
      <c r="D439" s="82"/>
      <c r="E439" s="82"/>
      <c r="F439" s="96"/>
    </row>
    <row r="440" spans="1:6" ht="13.5">
      <c r="A440" s="86"/>
      <c r="B440" s="91"/>
      <c r="C440" s="92"/>
      <c r="D440" s="82"/>
      <c r="E440" s="82"/>
      <c r="F440" s="96"/>
    </row>
    <row r="441" spans="1:6" ht="13.5">
      <c r="A441" s="86"/>
      <c r="B441" s="91"/>
      <c r="C441" s="92"/>
      <c r="D441" s="82"/>
      <c r="E441" s="82"/>
      <c r="F441" s="96"/>
    </row>
    <row r="442" spans="1:6" ht="13.5">
      <c r="A442" s="86"/>
      <c r="B442" s="91"/>
      <c r="C442" s="92"/>
      <c r="D442" s="82"/>
      <c r="E442" s="82"/>
      <c r="F442" s="96"/>
    </row>
    <row r="443" spans="1:6" ht="13.5">
      <c r="A443" s="86"/>
      <c r="B443" s="91"/>
      <c r="C443" s="92"/>
      <c r="D443" s="82"/>
      <c r="E443" s="82"/>
      <c r="F443" s="96"/>
    </row>
    <row r="444" spans="1:6" ht="13.5">
      <c r="A444" s="86"/>
      <c r="B444" s="91"/>
      <c r="C444" s="92"/>
      <c r="D444" s="82"/>
      <c r="E444" s="82"/>
      <c r="F444" s="96"/>
    </row>
    <row r="445" spans="1:6" ht="13.5">
      <c r="A445" s="86"/>
      <c r="B445" s="91"/>
      <c r="C445" s="92"/>
      <c r="D445" s="82"/>
      <c r="E445" s="82"/>
      <c r="F445" s="96"/>
    </row>
    <row r="446" spans="1:6" ht="13.5">
      <c r="A446" s="86"/>
      <c r="B446" s="91"/>
      <c r="C446" s="92"/>
      <c r="D446" s="82"/>
      <c r="E446" s="82"/>
      <c r="F446" s="96"/>
    </row>
    <row r="447" spans="1:6" ht="13.5">
      <c r="A447" s="86"/>
      <c r="B447" s="91"/>
      <c r="C447" s="92"/>
      <c r="D447" s="82"/>
      <c r="E447" s="82"/>
      <c r="F447" s="96"/>
    </row>
    <row r="448" spans="1:6" ht="13.5">
      <c r="A448" s="86"/>
      <c r="B448" s="91"/>
      <c r="C448" s="92"/>
      <c r="D448" s="82"/>
      <c r="E448" s="82"/>
      <c r="F448" s="96"/>
    </row>
    <row r="449" spans="1:6" ht="13.5">
      <c r="A449" s="86"/>
      <c r="B449" s="91"/>
      <c r="C449" s="92"/>
      <c r="D449" s="82"/>
      <c r="E449" s="82"/>
      <c r="F449" s="96"/>
    </row>
    <row r="450" spans="1:6" ht="13.5">
      <c r="A450" s="86"/>
      <c r="B450" s="91"/>
      <c r="C450" s="92"/>
      <c r="D450" s="82"/>
      <c r="E450" s="82"/>
      <c r="F450" s="96"/>
    </row>
    <row r="451" spans="1:6" ht="13.5">
      <c r="A451" s="86"/>
      <c r="B451" s="91"/>
      <c r="C451" s="92"/>
      <c r="D451" s="82"/>
      <c r="E451" s="82"/>
      <c r="F451" s="96"/>
    </row>
    <row r="452" spans="1:6" ht="13.5">
      <c r="A452" s="86"/>
      <c r="B452" s="91"/>
      <c r="C452" s="92"/>
      <c r="D452" s="82"/>
      <c r="E452" s="82"/>
      <c r="F452" s="96"/>
    </row>
    <row r="453" spans="1:6" ht="13.5">
      <c r="A453" s="86"/>
      <c r="B453" s="91"/>
      <c r="C453" s="92"/>
      <c r="D453" s="82"/>
      <c r="E453" s="82"/>
      <c r="F453" s="96"/>
    </row>
    <row r="454" spans="1:6" ht="13.5">
      <c r="A454" s="86"/>
      <c r="B454" s="91"/>
      <c r="C454" s="92"/>
      <c r="D454" s="82"/>
      <c r="E454" s="82"/>
      <c r="F454" s="96"/>
    </row>
    <row r="455" spans="1:6" ht="13.5">
      <c r="A455" s="86"/>
      <c r="B455" s="91"/>
      <c r="C455" s="92"/>
      <c r="D455" s="82"/>
      <c r="E455" s="82"/>
      <c r="F455" s="96"/>
    </row>
    <row r="456" spans="1:6" ht="13.5">
      <c r="A456" s="86"/>
      <c r="B456" s="91"/>
      <c r="C456" s="92"/>
      <c r="D456" s="82"/>
      <c r="E456" s="82"/>
      <c r="F456" s="96"/>
    </row>
    <row r="457" spans="1:6" ht="13.5">
      <c r="A457" s="86"/>
      <c r="B457" s="91"/>
      <c r="C457" s="92"/>
      <c r="D457" s="82"/>
      <c r="E457" s="82"/>
      <c r="F457" s="96"/>
    </row>
    <row r="458" spans="1:6" ht="13.5">
      <c r="A458" s="86"/>
      <c r="B458" s="91"/>
      <c r="C458" s="92"/>
      <c r="D458" s="82"/>
      <c r="E458" s="82"/>
      <c r="F458" s="96"/>
    </row>
    <row r="459" spans="1:6" ht="13.5">
      <c r="A459" s="86"/>
      <c r="B459" s="91"/>
      <c r="C459" s="92"/>
      <c r="D459" s="82"/>
      <c r="E459" s="82"/>
      <c r="F459" s="96"/>
    </row>
    <row r="460" spans="1:6" ht="13.5">
      <c r="A460" s="86"/>
      <c r="B460" s="91"/>
      <c r="C460" s="92"/>
      <c r="D460" s="82"/>
      <c r="E460" s="82"/>
      <c r="F460" s="96"/>
    </row>
    <row r="461" spans="1:6" ht="13.5">
      <c r="A461" s="86"/>
      <c r="B461" s="91"/>
      <c r="C461" s="92"/>
      <c r="D461" s="82"/>
      <c r="E461" s="82"/>
      <c r="F461" s="96"/>
    </row>
    <row r="462" spans="1:6" ht="13.5">
      <c r="A462" s="86"/>
      <c r="B462" s="91"/>
      <c r="C462" s="92"/>
      <c r="D462" s="82"/>
      <c r="E462" s="82"/>
      <c r="F462" s="96"/>
    </row>
    <row r="463" spans="1:6" ht="13.5">
      <c r="A463" s="86"/>
      <c r="B463" s="91"/>
      <c r="C463" s="92"/>
      <c r="D463" s="82"/>
      <c r="E463" s="82"/>
      <c r="F463" s="96"/>
    </row>
    <row r="464" spans="1:6" ht="13.5">
      <c r="A464" s="86"/>
      <c r="B464" s="91"/>
      <c r="C464" s="92"/>
      <c r="D464" s="82"/>
      <c r="E464" s="82"/>
      <c r="F464" s="96"/>
    </row>
    <row r="465" spans="1:6" ht="13.5">
      <c r="A465" s="86"/>
      <c r="B465" s="91"/>
      <c r="C465" s="92"/>
      <c r="D465" s="82"/>
      <c r="E465" s="82"/>
      <c r="F465" s="96"/>
    </row>
    <row r="466" spans="1:6" ht="13.5">
      <c r="A466" s="86"/>
      <c r="B466" s="91"/>
      <c r="C466" s="92"/>
      <c r="D466" s="82"/>
      <c r="E466" s="82"/>
      <c r="F466" s="96"/>
    </row>
    <row r="467" spans="1:6" ht="13.5">
      <c r="A467" s="86"/>
      <c r="B467" s="91"/>
      <c r="C467" s="92"/>
      <c r="D467" s="82"/>
      <c r="E467" s="82"/>
      <c r="F467" s="96"/>
    </row>
    <row r="468" spans="1:6" ht="13.5">
      <c r="A468" s="86"/>
      <c r="B468" s="91"/>
      <c r="C468" s="92"/>
      <c r="D468" s="82"/>
      <c r="E468" s="82"/>
      <c r="F468" s="96"/>
    </row>
    <row r="469" spans="1:6" ht="13.5">
      <c r="A469" s="86"/>
      <c r="B469" s="91"/>
      <c r="C469" s="92"/>
      <c r="D469" s="82"/>
      <c r="E469" s="82"/>
      <c r="F469" s="96"/>
    </row>
    <row r="470" spans="1:6" ht="13.5">
      <c r="A470" s="86"/>
      <c r="B470" s="91"/>
      <c r="C470" s="92"/>
      <c r="D470" s="82"/>
      <c r="E470" s="82"/>
      <c r="F470" s="96"/>
    </row>
    <row r="471" spans="1:6" ht="13.5">
      <c r="A471" s="86"/>
      <c r="B471" s="91"/>
      <c r="C471" s="92"/>
      <c r="D471" s="82"/>
      <c r="E471" s="82"/>
      <c r="F471" s="96"/>
    </row>
    <row r="472" spans="1:6" ht="13.5">
      <c r="A472" s="86"/>
      <c r="B472" s="91"/>
      <c r="C472" s="92"/>
      <c r="D472" s="82"/>
      <c r="E472" s="82"/>
      <c r="F472" s="96"/>
    </row>
    <row r="473" spans="1:6" ht="13.5">
      <c r="A473" s="86"/>
      <c r="B473" s="91"/>
      <c r="C473" s="92"/>
      <c r="D473" s="82"/>
      <c r="E473" s="82"/>
      <c r="F473" s="96"/>
    </row>
    <row r="474" spans="1:6" ht="13.5">
      <c r="A474" s="86"/>
      <c r="B474" s="91"/>
      <c r="C474" s="92"/>
      <c r="D474" s="82"/>
      <c r="E474" s="82"/>
      <c r="F474" s="96"/>
    </row>
    <row r="475" spans="1:6" ht="13.5">
      <c r="A475" s="86"/>
      <c r="B475" s="91"/>
      <c r="C475" s="92"/>
      <c r="D475" s="82"/>
      <c r="E475" s="82"/>
      <c r="F475" s="96"/>
    </row>
    <row r="476" spans="1:6" ht="13.5">
      <c r="A476" s="86"/>
      <c r="B476" s="91"/>
      <c r="C476" s="92"/>
      <c r="D476" s="82"/>
      <c r="E476" s="82"/>
      <c r="F476" s="96"/>
    </row>
    <row r="477" spans="1:6" ht="13.5">
      <c r="A477" s="86"/>
      <c r="B477" s="91"/>
      <c r="C477" s="92"/>
      <c r="D477" s="82"/>
      <c r="E477" s="82"/>
      <c r="F477" s="96"/>
    </row>
    <row r="478" spans="1:6" ht="13.5">
      <c r="A478" s="86"/>
      <c r="B478" s="91"/>
      <c r="C478" s="92"/>
      <c r="D478" s="82"/>
      <c r="E478" s="82"/>
      <c r="F478" s="96"/>
    </row>
    <row r="479" spans="1:6" ht="13.5">
      <c r="A479" s="86"/>
      <c r="B479" s="91"/>
      <c r="C479" s="92"/>
      <c r="D479" s="82"/>
      <c r="E479" s="82"/>
      <c r="F479" s="96"/>
    </row>
    <row r="480" spans="1:6" ht="13.5">
      <c r="A480" s="86"/>
      <c r="B480" s="91"/>
      <c r="C480" s="92"/>
      <c r="D480" s="82"/>
      <c r="E480" s="82"/>
      <c r="F480" s="96"/>
    </row>
    <row r="481" spans="1:6" ht="13.5">
      <c r="A481" s="86"/>
      <c r="B481" s="91"/>
      <c r="C481" s="92"/>
      <c r="D481" s="82"/>
      <c r="E481" s="82"/>
      <c r="F481" s="96"/>
    </row>
    <row r="482" spans="1:6" ht="13.5">
      <c r="A482" s="86"/>
      <c r="B482" s="91"/>
      <c r="C482" s="92"/>
      <c r="D482" s="82"/>
      <c r="E482" s="82"/>
      <c r="F482" s="96"/>
    </row>
    <row r="483" spans="1:6" ht="13.5">
      <c r="A483" s="86"/>
      <c r="B483" s="91"/>
      <c r="C483" s="92"/>
      <c r="D483" s="82"/>
      <c r="E483" s="82"/>
      <c r="F483" s="96"/>
    </row>
    <row r="484" spans="1:6" ht="13.5">
      <c r="A484" s="86"/>
      <c r="B484" s="91"/>
      <c r="C484" s="92"/>
      <c r="D484" s="82"/>
      <c r="E484" s="82"/>
      <c r="F484" s="96"/>
    </row>
    <row r="485" spans="1:6" ht="13.5">
      <c r="A485" s="86"/>
      <c r="B485" s="91"/>
      <c r="C485" s="92"/>
      <c r="D485" s="82"/>
      <c r="E485" s="82"/>
      <c r="F485" s="96"/>
    </row>
    <row r="486" spans="1:6" ht="13.5">
      <c r="A486" s="86"/>
      <c r="B486" s="91"/>
      <c r="C486" s="92"/>
      <c r="D486" s="82"/>
      <c r="E486" s="82"/>
      <c r="F486" s="96"/>
    </row>
    <row r="487" spans="1:6" ht="13.5">
      <c r="A487" s="86"/>
      <c r="B487" s="91"/>
      <c r="C487" s="92"/>
      <c r="D487" s="82"/>
      <c r="E487" s="82"/>
      <c r="F487" s="96"/>
    </row>
    <row r="488" spans="1:6" ht="13.5">
      <c r="A488" s="86"/>
      <c r="B488" s="91"/>
      <c r="C488" s="92"/>
      <c r="D488" s="82"/>
      <c r="E488" s="82"/>
      <c r="F488" s="96"/>
    </row>
    <row r="489" spans="1:6" ht="13.5">
      <c r="A489" s="86"/>
      <c r="B489" s="91"/>
      <c r="C489" s="92"/>
      <c r="D489" s="82"/>
      <c r="E489" s="82"/>
      <c r="F489" s="96"/>
    </row>
    <row r="490" spans="1:6" ht="13.5">
      <c r="A490" s="86"/>
      <c r="B490" s="91"/>
      <c r="C490" s="92"/>
      <c r="D490" s="82"/>
      <c r="E490" s="82"/>
      <c r="F490" s="96"/>
    </row>
    <row r="491" spans="1:6" ht="13.5">
      <c r="A491" s="86"/>
      <c r="B491" s="91"/>
      <c r="C491" s="92"/>
      <c r="D491" s="82"/>
      <c r="E491" s="82"/>
      <c r="F491" s="96"/>
    </row>
    <row r="492" spans="1:6" ht="13.5">
      <c r="A492" s="86"/>
      <c r="B492" s="91"/>
      <c r="C492" s="92"/>
      <c r="D492" s="82"/>
      <c r="E492" s="82"/>
      <c r="F492" s="96"/>
    </row>
    <row r="493" spans="1:6" ht="13.5">
      <c r="A493" s="86"/>
      <c r="B493" s="91"/>
      <c r="C493" s="92"/>
      <c r="D493" s="82"/>
      <c r="E493" s="82"/>
      <c r="F493" s="96"/>
    </row>
    <row r="494" spans="1:6" ht="13.5">
      <c r="A494" s="86"/>
      <c r="B494" s="91"/>
      <c r="C494" s="92"/>
      <c r="D494" s="82"/>
      <c r="E494" s="82"/>
      <c r="F494" s="96"/>
    </row>
    <row r="495" spans="1:6" ht="13.5">
      <c r="A495" s="86"/>
      <c r="B495" s="91"/>
      <c r="C495" s="92"/>
      <c r="D495" s="82"/>
      <c r="E495" s="82"/>
      <c r="F495" s="96"/>
    </row>
    <row r="496" spans="1:6" ht="13.5">
      <c r="A496" s="86"/>
      <c r="B496" s="91"/>
      <c r="C496" s="92"/>
      <c r="D496" s="82"/>
      <c r="E496" s="82"/>
      <c r="F496" s="96"/>
    </row>
    <row r="497" spans="1:6" ht="13.5">
      <c r="A497" s="86"/>
      <c r="B497" s="91"/>
      <c r="C497" s="92"/>
      <c r="D497" s="82"/>
      <c r="E497" s="82"/>
      <c r="F497" s="96"/>
    </row>
    <row r="498" spans="1:6" ht="13.5">
      <c r="A498" s="86"/>
      <c r="B498" s="91"/>
      <c r="C498" s="92"/>
      <c r="D498" s="82"/>
      <c r="E498" s="82"/>
      <c r="F498" s="96"/>
    </row>
    <row r="499" spans="1:6" ht="13.5">
      <c r="A499" s="86"/>
      <c r="B499" s="91"/>
      <c r="C499" s="92"/>
      <c r="D499" s="82"/>
      <c r="E499" s="82"/>
      <c r="F499" s="96"/>
    </row>
    <row r="500" spans="1:6" ht="13.5">
      <c r="A500" s="86"/>
      <c r="B500" s="91"/>
      <c r="C500" s="92"/>
      <c r="D500" s="82"/>
      <c r="E500" s="82"/>
      <c r="F500" s="96"/>
    </row>
    <row r="501" spans="1:6" ht="13.5">
      <c r="A501" s="86"/>
      <c r="B501" s="91"/>
      <c r="C501" s="92"/>
      <c r="D501" s="82"/>
      <c r="E501" s="82"/>
      <c r="F501" s="96"/>
    </row>
    <row r="502" spans="1:6" ht="13.5">
      <c r="A502" s="86"/>
      <c r="B502" s="91"/>
      <c r="C502" s="92"/>
      <c r="D502" s="82"/>
      <c r="E502" s="82"/>
      <c r="F502" s="96"/>
    </row>
    <row r="503" spans="1:6" ht="13.5">
      <c r="A503" s="86"/>
      <c r="B503" s="91"/>
      <c r="C503" s="92"/>
      <c r="D503" s="82"/>
      <c r="E503" s="82"/>
      <c r="F503" s="96"/>
    </row>
    <row r="504" spans="1:6" ht="13.5">
      <c r="A504" s="86"/>
      <c r="B504" s="91"/>
      <c r="C504" s="92"/>
      <c r="D504" s="82"/>
      <c r="E504" s="82"/>
      <c r="F504" s="96"/>
    </row>
    <row r="505" spans="1:6" ht="13.5">
      <c r="A505" s="86"/>
      <c r="B505" s="91"/>
      <c r="C505" s="92"/>
      <c r="D505" s="82"/>
      <c r="E505" s="82"/>
      <c r="F505" s="96"/>
    </row>
    <row r="506" spans="1:6" ht="13.5">
      <c r="A506" s="86"/>
      <c r="B506" s="91"/>
      <c r="C506" s="92"/>
      <c r="D506" s="82"/>
      <c r="E506" s="82"/>
      <c r="F506" s="96"/>
    </row>
    <row r="507" spans="1:6" ht="13.5">
      <c r="A507" s="86"/>
      <c r="B507" s="91"/>
      <c r="C507" s="92"/>
      <c r="D507" s="82"/>
      <c r="E507" s="82"/>
      <c r="F507" s="96"/>
    </row>
    <row r="508" spans="1:6" ht="13.5">
      <c r="A508" s="86"/>
      <c r="B508" s="91"/>
      <c r="C508" s="92"/>
      <c r="D508" s="82"/>
      <c r="E508" s="82"/>
      <c r="F508" s="96"/>
    </row>
    <row r="509" spans="1:6" ht="13.5">
      <c r="A509" s="86"/>
      <c r="B509" s="91"/>
      <c r="C509" s="92"/>
      <c r="D509" s="82"/>
      <c r="E509" s="82"/>
      <c r="F509" s="96"/>
    </row>
    <row r="510" spans="1:6" ht="13.5">
      <c r="A510" s="86"/>
      <c r="B510" s="91"/>
      <c r="C510" s="92"/>
      <c r="D510" s="82"/>
      <c r="E510" s="82"/>
      <c r="F510" s="96"/>
    </row>
    <row r="511" spans="1:6" ht="13.5">
      <c r="A511" s="86"/>
      <c r="B511" s="91"/>
      <c r="C511" s="92"/>
      <c r="D511" s="82"/>
      <c r="E511" s="82"/>
      <c r="F511" s="96"/>
    </row>
    <row r="512" spans="1:6" ht="13.5">
      <c r="A512" s="86"/>
      <c r="B512" s="91"/>
      <c r="C512" s="92"/>
      <c r="D512" s="82"/>
      <c r="E512" s="82"/>
      <c r="F512" s="96"/>
    </row>
    <row r="513" spans="1:6" ht="13.5">
      <c r="A513" s="86"/>
      <c r="B513" s="91"/>
      <c r="C513" s="92"/>
      <c r="D513" s="82"/>
      <c r="E513" s="82"/>
      <c r="F513" s="96"/>
    </row>
    <row r="514" spans="1:6" ht="13.5">
      <c r="A514" s="86"/>
      <c r="B514" s="91"/>
      <c r="C514" s="92"/>
      <c r="D514" s="82"/>
      <c r="E514" s="82"/>
      <c r="F514" s="96"/>
    </row>
    <row r="515" spans="1:6" ht="13.5">
      <c r="A515" s="86"/>
      <c r="B515" s="91"/>
      <c r="C515" s="92"/>
      <c r="D515" s="82"/>
      <c r="E515" s="82"/>
      <c r="F515" s="96"/>
    </row>
    <row r="516" spans="1:6" ht="13.5">
      <c r="A516" s="86"/>
      <c r="B516" s="91"/>
      <c r="C516" s="92"/>
      <c r="D516" s="82"/>
      <c r="E516" s="82"/>
      <c r="F516" s="96"/>
    </row>
    <row r="517" spans="1:6" ht="13.5">
      <c r="A517" s="86"/>
      <c r="B517" s="91"/>
      <c r="C517" s="92"/>
      <c r="D517" s="82"/>
      <c r="E517" s="82"/>
      <c r="F517" s="96"/>
    </row>
    <row r="518" spans="1:6" ht="13.5">
      <c r="A518" s="86"/>
      <c r="B518" s="91"/>
      <c r="C518" s="92"/>
      <c r="D518" s="82"/>
      <c r="E518" s="82"/>
      <c r="F518" s="96"/>
    </row>
    <row r="519" spans="1:6" ht="13.5">
      <c r="A519" s="86"/>
      <c r="B519" s="91"/>
      <c r="C519" s="92"/>
      <c r="D519" s="82"/>
      <c r="E519" s="82"/>
      <c r="F519" s="96"/>
    </row>
    <row r="520" spans="1:6" ht="13.5">
      <c r="A520" s="86"/>
      <c r="B520" s="91"/>
      <c r="C520" s="92"/>
      <c r="D520" s="82"/>
      <c r="E520" s="82"/>
      <c r="F520" s="96"/>
    </row>
    <row r="521" spans="1:6" ht="13.5">
      <c r="A521" s="86"/>
      <c r="B521" s="91"/>
      <c r="C521" s="92"/>
      <c r="D521" s="82"/>
      <c r="E521" s="82"/>
      <c r="F521" s="96"/>
    </row>
    <row r="522" spans="1:6" ht="13.5">
      <c r="A522" s="86"/>
      <c r="B522" s="91"/>
      <c r="C522" s="92"/>
      <c r="D522" s="82"/>
      <c r="E522" s="82"/>
      <c r="F522" s="96"/>
    </row>
    <row r="523" spans="1:6" ht="13.5">
      <c r="A523" s="86"/>
      <c r="B523" s="91"/>
      <c r="C523" s="92"/>
      <c r="D523" s="82"/>
      <c r="E523" s="82"/>
      <c r="F523" s="96"/>
    </row>
    <row r="524" spans="1:6" ht="13.5">
      <c r="A524" s="86"/>
      <c r="B524" s="91"/>
      <c r="C524" s="92"/>
      <c r="D524" s="82"/>
      <c r="E524" s="82"/>
      <c r="F524" s="96"/>
    </row>
    <row r="525" spans="1:6" ht="13.5">
      <c r="A525" s="86"/>
      <c r="B525" s="91"/>
      <c r="C525" s="92"/>
      <c r="D525" s="82"/>
      <c r="E525" s="82"/>
      <c r="F525" s="96"/>
    </row>
    <row r="526" spans="1:6" ht="13.5">
      <c r="A526" s="86"/>
      <c r="B526" s="91"/>
      <c r="C526" s="92"/>
      <c r="D526" s="82"/>
      <c r="E526" s="82"/>
      <c r="F526" s="96"/>
    </row>
    <row r="527" spans="1:6" ht="13.5">
      <c r="A527" s="86"/>
      <c r="B527" s="91"/>
      <c r="C527" s="92"/>
      <c r="D527" s="82"/>
      <c r="E527" s="82"/>
      <c r="F527" s="96"/>
    </row>
    <row r="528" spans="1:6" ht="13.5">
      <c r="A528" s="86"/>
      <c r="B528" s="91"/>
      <c r="C528" s="92"/>
      <c r="D528" s="82"/>
      <c r="E528" s="82"/>
      <c r="F528" s="96"/>
    </row>
    <row r="529" spans="1:6" ht="13.5">
      <c r="A529" s="86"/>
      <c r="B529" s="91"/>
      <c r="C529" s="92"/>
      <c r="D529" s="82"/>
      <c r="E529" s="82"/>
      <c r="F529" s="96"/>
    </row>
    <row r="530" spans="1:6" ht="13.5">
      <c r="A530" s="86"/>
      <c r="B530" s="91"/>
      <c r="C530" s="92"/>
      <c r="D530" s="82"/>
      <c r="E530" s="82"/>
      <c r="F530" s="96"/>
    </row>
    <row r="531" spans="1:6" ht="13.5">
      <c r="A531" s="86"/>
      <c r="B531" s="91"/>
      <c r="C531" s="92"/>
      <c r="D531" s="82"/>
      <c r="E531" s="82"/>
      <c r="F531" s="96"/>
    </row>
    <row r="532" spans="1:6" ht="13.5">
      <c r="A532" s="86"/>
      <c r="B532" s="91"/>
      <c r="C532" s="92"/>
      <c r="D532" s="82"/>
      <c r="E532" s="82"/>
      <c r="F532" s="96"/>
    </row>
    <row r="533" spans="1:6" ht="13.5">
      <c r="A533" s="86"/>
      <c r="B533" s="91"/>
      <c r="C533" s="92"/>
      <c r="D533" s="82"/>
      <c r="E533" s="82"/>
      <c r="F533" s="96"/>
    </row>
    <row r="534" spans="1:6" ht="13.5">
      <c r="A534" s="86"/>
      <c r="B534" s="91"/>
      <c r="C534" s="92"/>
      <c r="D534" s="82"/>
      <c r="E534" s="82"/>
      <c r="F534" s="96"/>
    </row>
    <row r="535" spans="1:6" ht="13.5">
      <c r="A535" s="86"/>
      <c r="B535" s="91"/>
      <c r="C535" s="92"/>
      <c r="D535" s="82"/>
      <c r="E535" s="82"/>
      <c r="F535" s="96"/>
    </row>
    <row r="536" spans="1:6" ht="13.5">
      <c r="A536" s="86"/>
      <c r="B536" s="91"/>
      <c r="C536" s="92"/>
      <c r="D536" s="82"/>
      <c r="E536" s="82"/>
      <c r="F536" s="96"/>
    </row>
    <row r="537" spans="1:6" ht="13.5">
      <c r="A537" s="86"/>
      <c r="B537" s="91"/>
      <c r="C537" s="92"/>
      <c r="D537" s="82"/>
      <c r="E537" s="82"/>
      <c r="F537" s="96"/>
    </row>
    <row r="538" spans="1:6" ht="13.5">
      <c r="A538" s="86"/>
      <c r="B538" s="91"/>
      <c r="C538" s="92"/>
      <c r="D538" s="82"/>
      <c r="E538" s="82"/>
      <c r="F538" s="96"/>
    </row>
    <row r="539" spans="1:6" ht="13.5">
      <c r="A539" s="86"/>
      <c r="B539" s="91"/>
      <c r="C539" s="92"/>
      <c r="D539" s="82"/>
      <c r="E539" s="82"/>
      <c r="F539" s="96"/>
    </row>
    <row r="540" spans="1:6" ht="13.5">
      <c r="A540" s="86"/>
      <c r="B540" s="91"/>
      <c r="C540" s="92"/>
      <c r="D540" s="82"/>
      <c r="E540" s="82"/>
      <c r="F540" s="96"/>
    </row>
    <row r="541" spans="1:6" ht="13.5">
      <c r="A541" s="86"/>
      <c r="B541" s="91"/>
      <c r="C541" s="92"/>
      <c r="D541" s="82"/>
      <c r="E541" s="82"/>
      <c r="F541" s="96"/>
    </row>
    <row r="542" spans="1:6" ht="13.5">
      <c r="A542" s="86"/>
      <c r="B542" s="91"/>
      <c r="C542" s="92"/>
      <c r="D542" s="82"/>
      <c r="E542" s="82"/>
      <c r="F542" s="96"/>
    </row>
    <row r="543" spans="1:6" ht="13.5">
      <c r="A543" s="86"/>
      <c r="B543" s="91"/>
      <c r="C543" s="92"/>
      <c r="D543" s="82"/>
      <c r="E543" s="82"/>
      <c r="F543" s="96"/>
    </row>
    <row r="544" spans="1:6" ht="13.5">
      <c r="A544" s="86"/>
      <c r="B544" s="91"/>
      <c r="C544" s="92"/>
      <c r="D544" s="82"/>
      <c r="E544" s="82"/>
      <c r="F544" s="96"/>
    </row>
    <row r="545" spans="1:6" ht="13.5">
      <c r="A545" s="86"/>
      <c r="B545" s="91"/>
      <c r="C545" s="92"/>
      <c r="D545" s="82"/>
      <c r="E545" s="82"/>
      <c r="F545" s="96"/>
    </row>
    <row r="546" spans="1:6" ht="13.5">
      <c r="A546" s="86"/>
      <c r="B546" s="91"/>
      <c r="C546" s="92"/>
      <c r="D546" s="82"/>
      <c r="E546" s="82"/>
      <c r="F546" s="96"/>
    </row>
    <row r="547" spans="1:6" ht="13.5">
      <c r="A547" s="86"/>
      <c r="B547" s="91"/>
      <c r="C547" s="92"/>
      <c r="D547" s="82"/>
      <c r="E547" s="82"/>
      <c r="F547" s="96"/>
    </row>
    <row r="548" spans="1:6" ht="13.5">
      <c r="A548" s="86"/>
      <c r="B548" s="91"/>
      <c r="C548" s="92"/>
      <c r="D548" s="82"/>
      <c r="E548" s="82"/>
      <c r="F548" s="96"/>
    </row>
    <row r="549" spans="1:6" ht="13.5">
      <c r="A549" s="86"/>
      <c r="B549" s="91"/>
      <c r="C549" s="92"/>
      <c r="D549" s="82"/>
      <c r="E549" s="82"/>
      <c r="F549" s="96"/>
    </row>
    <row r="550" spans="1:6" ht="13.5">
      <c r="A550" s="86"/>
      <c r="B550" s="91"/>
      <c r="C550" s="92"/>
      <c r="D550" s="82"/>
      <c r="E550" s="82"/>
      <c r="F550" s="96"/>
    </row>
    <row r="551" spans="1:6" ht="13.5">
      <c r="A551" s="86"/>
      <c r="B551" s="91"/>
      <c r="C551" s="92"/>
      <c r="D551" s="82"/>
      <c r="E551" s="82"/>
      <c r="F551" s="96"/>
    </row>
    <row r="552" spans="1:6" ht="13.5">
      <c r="A552" s="86"/>
      <c r="B552" s="91"/>
      <c r="C552" s="92"/>
      <c r="D552" s="82"/>
      <c r="E552" s="82"/>
      <c r="F552" s="96"/>
    </row>
    <row r="553" spans="1:6" ht="13.5">
      <c r="A553" s="86"/>
      <c r="B553" s="91"/>
      <c r="C553" s="92"/>
      <c r="D553" s="82"/>
      <c r="E553" s="82"/>
      <c r="F553" s="96"/>
    </row>
    <row r="554" spans="1:6" ht="13.5">
      <c r="A554" s="86"/>
      <c r="B554" s="91"/>
      <c r="C554" s="92"/>
      <c r="D554" s="82"/>
      <c r="E554" s="82"/>
      <c r="F554" s="96"/>
    </row>
    <row r="555" spans="1:6" ht="13.5">
      <c r="A555" s="86"/>
      <c r="B555" s="91"/>
      <c r="C555" s="92"/>
      <c r="D555" s="82"/>
      <c r="E555" s="82"/>
      <c r="F555" s="96"/>
    </row>
    <row r="556" spans="1:6" ht="13.5">
      <c r="A556" s="86"/>
      <c r="B556" s="91"/>
      <c r="C556" s="92"/>
      <c r="D556" s="82"/>
      <c r="E556" s="82"/>
      <c r="F556" s="96"/>
    </row>
    <row r="557" spans="1:6" ht="13.5">
      <c r="A557" s="86"/>
      <c r="B557" s="91"/>
      <c r="C557" s="92"/>
      <c r="D557" s="82"/>
      <c r="E557" s="82"/>
      <c r="F557" s="96"/>
    </row>
    <row r="558" spans="1:6" ht="13.5">
      <c r="A558" s="86"/>
      <c r="B558" s="91"/>
      <c r="C558" s="92"/>
      <c r="D558" s="82"/>
      <c r="E558" s="82"/>
      <c r="F558" s="96"/>
    </row>
    <row r="559" spans="1:6" ht="13.5">
      <c r="A559" s="86"/>
      <c r="B559" s="91"/>
      <c r="C559" s="92"/>
      <c r="D559" s="82"/>
      <c r="E559" s="82"/>
      <c r="F559" s="96"/>
    </row>
    <row r="560" spans="1:6" ht="13.5">
      <c r="A560" s="86"/>
      <c r="B560" s="91"/>
      <c r="C560" s="92"/>
      <c r="D560" s="82"/>
      <c r="E560" s="82"/>
      <c r="F560" s="96"/>
    </row>
    <row r="561" spans="1:6" ht="13.5">
      <c r="A561" s="86"/>
      <c r="B561" s="91"/>
      <c r="C561" s="92"/>
      <c r="D561" s="82"/>
      <c r="E561" s="82"/>
      <c r="F561" s="96"/>
    </row>
    <row r="562" spans="1:6" ht="13.5">
      <c r="A562" s="86"/>
      <c r="B562" s="91"/>
      <c r="C562" s="92"/>
      <c r="D562" s="82"/>
      <c r="E562" s="82"/>
      <c r="F562" s="96"/>
    </row>
    <row r="563" spans="1:6" ht="13.5">
      <c r="A563" s="86"/>
      <c r="B563" s="91"/>
      <c r="C563" s="92"/>
      <c r="D563" s="82"/>
      <c r="E563" s="82"/>
      <c r="F563" s="96"/>
    </row>
    <row r="564" spans="1:6" ht="13.5">
      <c r="A564" s="86"/>
      <c r="B564" s="91"/>
      <c r="C564" s="92"/>
      <c r="D564" s="82"/>
      <c r="E564" s="82"/>
      <c r="F564" s="96"/>
    </row>
    <row r="565" spans="1:6" ht="13.5">
      <c r="A565" s="86"/>
      <c r="B565" s="91"/>
      <c r="C565" s="92"/>
      <c r="D565" s="82"/>
      <c r="E565" s="82"/>
      <c r="F565" s="96"/>
    </row>
    <row r="566" spans="1:6" ht="13.5">
      <c r="A566" s="86"/>
      <c r="B566" s="91"/>
      <c r="C566" s="92"/>
      <c r="D566" s="82"/>
      <c r="E566" s="82"/>
      <c r="F566" s="96"/>
    </row>
    <row r="567" spans="1:6" ht="13.5">
      <c r="A567" s="86"/>
      <c r="B567" s="91"/>
      <c r="C567" s="92"/>
      <c r="D567" s="82"/>
      <c r="E567" s="82"/>
      <c r="F567" s="96"/>
    </row>
    <row r="568" spans="1:6" ht="13.5">
      <c r="A568" s="86"/>
      <c r="B568" s="91"/>
      <c r="C568" s="92"/>
      <c r="D568" s="82"/>
      <c r="E568" s="82"/>
      <c r="F568" s="96"/>
    </row>
    <row r="569" spans="1:6" ht="13.5">
      <c r="A569" s="86"/>
      <c r="B569" s="91"/>
      <c r="C569" s="92"/>
      <c r="D569" s="82"/>
      <c r="E569" s="82"/>
      <c r="F569" s="96"/>
    </row>
    <row r="570" spans="1:6" ht="13.5">
      <c r="A570" s="86"/>
      <c r="B570" s="91"/>
      <c r="C570" s="92"/>
      <c r="D570" s="82"/>
      <c r="E570" s="82"/>
      <c r="F570" s="96"/>
    </row>
    <row r="571" spans="1:6" ht="13.5">
      <c r="A571" s="86"/>
      <c r="B571" s="91"/>
      <c r="C571" s="92"/>
      <c r="D571" s="82"/>
      <c r="E571" s="82"/>
      <c r="F571" s="96"/>
    </row>
    <row r="572" spans="1:6" ht="13.5">
      <c r="A572" s="86"/>
      <c r="B572" s="91"/>
      <c r="C572" s="92"/>
      <c r="D572" s="82"/>
      <c r="E572" s="82"/>
      <c r="F572" s="96"/>
    </row>
    <row r="573" spans="1:6" ht="13.5">
      <c r="A573" s="86"/>
      <c r="B573" s="91"/>
      <c r="C573" s="92"/>
      <c r="D573" s="82"/>
      <c r="E573" s="82"/>
      <c r="F573" s="96"/>
    </row>
    <row r="574" spans="1:6" ht="13.5">
      <c r="A574" s="86"/>
      <c r="B574" s="91"/>
      <c r="C574" s="92"/>
      <c r="D574" s="82"/>
      <c r="E574" s="82"/>
      <c r="F574" s="96"/>
    </row>
    <row r="575" spans="1:6" ht="13.5">
      <c r="A575" s="86"/>
      <c r="B575" s="91"/>
      <c r="C575" s="92"/>
      <c r="D575" s="82"/>
      <c r="E575" s="82"/>
      <c r="F575" s="96"/>
    </row>
    <row r="576" spans="1:6" ht="13.5">
      <c r="A576" s="86"/>
      <c r="B576" s="91"/>
      <c r="C576" s="92"/>
      <c r="D576" s="82"/>
      <c r="E576" s="82"/>
      <c r="F576" s="96"/>
    </row>
    <row r="577" spans="1:6" ht="13.5">
      <c r="A577" s="86"/>
      <c r="B577" s="91"/>
      <c r="C577" s="92"/>
      <c r="D577" s="82"/>
      <c r="E577" s="82"/>
      <c r="F577" s="96"/>
    </row>
    <row r="578" spans="1:6" ht="13.5">
      <c r="A578" s="86"/>
      <c r="B578" s="91"/>
      <c r="C578" s="92"/>
      <c r="D578" s="82"/>
      <c r="E578" s="82"/>
      <c r="F578" s="96"/>
    </row>
    <row r="579" spans="1:6" ht="13.5">
      <c r="A579" s="86"/>
      <c r="B579" s="91"/>
      <c r="C579" s="92"/>
      <c r="D579" s="82"/>
      <c r="E579" s="82"/>
      <c r="F579" s="96"/>
    </row>
    <row r="580" spans="1:6" ht="13.5">
      <c r="A580" s="86"/>
      <c r="B580" s="91"/>
      <c r="C580" s="92"/>
      <c r="D580" s="82"/>
      <c r="E580" s="82"/>
      <c r="F580" s="96"/>
    </row>
    <row r="581" spans="1:6" ht="13.5">
      <c r="A581" s="86"/>
      <c r="B581" s="91"/>
      <c r="C581" s="92"/>
      <c r="D581" s="82"/>
      <c r="E581" s="82"/>
      <c r="F581" s="96"/>
    </row>
    <row r="582" spans="1:6" ht="13.5">
      <c r="A582" s="86"/>
      <c r="B582" s="91"/>
      <c r="C582" s="92"/>
      <c r="D582" s="82"/>
      <c r="E582" s="82"/>
      <c r="F582" s="96"/>
    </row>
    <row r="583" spans="1:6" ht="13.5">
      <c r="A583" s="86"/>
      <c r="B583" s="91"/>
      <c r="C583" s="92"/>
      <c r="D583" s="82"/>
      <c r="E583" s="82"/>
      <c r="F583" s="96"/>
    </row>
    <row r="584" spans="1:6" ht="13.5">
      <c r="A584" s="86"/>
      <c r="B584" s="91"/>
      <c r="C584" s="92"/>
      <c r="D584" s="82"/>
      <c r="E584" s="82"/>
      <c r="F584" s="96"/>
    </row>
    <row r="585" spans="1:6" ht="13.5">
      <c r="A585" s="86"/>
      <c r="B585" s="91"/>
      <c r="C585" s="92"/>
      <c r="D585" s="82"/>
      <c r="E585" s="82"/>
      <c r="F585" s="96"/>
    </row>
    <row r="586" spans="1:6" ht="13.5">
      <c r="A586" s="86"/>
      <c r="B586" s="91"/>
      <c r="C586" s="92"/>
      <c r="D586" s="82"/>
      <c r="E586" s="82"/>
      <c r="F586" s="96"/>
    </row>
    <row r="587" spans="1:6" ht="13.5">
      <c r="A587" s="86"/>
      <c r="B587" s="91"/>
      <c r="C587" s="92"/>
      <c r="D587" s="82"/>
      <c r="E587" s="82"/>
      <c r="F587" s="96"/>
    </row>
    <row r="588" spans="1:6" ht="13.5">
      <c r="A588" s="86"/>
      <c r="B588" s="91"/>
      <c r="C588" s="92"/>
      <c r="D588" s="82"/>
      <c r="E588" s="82"/>
      <c r="F588" s="96"/>
    </row>
    <row r="589" spans="1:6" ht="13.5">
      <c r="A589" s="86"/>
      <c r="B589" s="91"/>
      <c r="C589" s="92"/>
      <c r="D589" s="82"/>
      <c r="E589" s="82"/>
      <c r="F589" s="96"/>
    </row>
    <row r="590" spans="1:6" ht="13.5">
      <c r="A590" s="86"/>
      <c r="B590" s="91"/>
      <c r="C590" s="92"/>
      <c r="D590" s="82"/>
      <c r="E590" s="82"/>
      <c r="F590" s="96"/>
    </row>
    <row r="591" spans="1:6" ht="13.5">
      <c r="A591" s="86"/>
      <c r="B591" s="91"/>
      <c r="C591" s="92"/>
      <c r="D591" s="82"/>
      <c r="E591" s="82"/>
      <c r="F591" s="96"/>
    </row>
    <row r="592" spans="1:6" ht="13.5">
      <c r="A592" s="86"/>
      <c r="B592" s="91"/>
      <c r="C592" s="92"/>
      <c r="D592" s="82"/>
      <c r="E592" s="82"/>
      <c r="F592" s="96"/>
    </row>
    <row r="593" spans="1:6" ht="13.5">
      <c r="A593" s="86"/>
      <c r="B593" s="91"/>
      <c r="C593" s="92"/>
      <c r="D593" s="82"/>
      <c r="E593" s="82"/>
      <c r="F593" s="96"/>
    </row>
    <row r="594" spans="1:6" ht="13.5">
      <c r="A594" s="86"/>
      <c r="B594" s="91"/>
      <c r="C594" s="92"/>
      <c r="D594" s="82"/>
      <c r="E594" s="82"/>
      <c r="F594" s="96"/>
    </row>
    <row r="595" spans="1:6" ht="13.5">
      <c r="A595" s="86"/>
      <c r="B595" s="91"/>
      <c r="C595" s="92"/>
      <c r="D595" s="82"/>
      <c r="E595" s="82"/>
      <c r="F595" s="96"/>
    </row>
    <row r="596" spans="1:6" ht="13.5">
      <c r="A596" s="86"/>
      <c r="B596" s="91"/>
      <c r="C596" s="92"/>
      <c r="D596" s="82"/>
      <c r="E596" s="82"/>
      <c r="F596" s="96"/>
    </row>
    <row r="597" spans="1:6" ht="13.5">
      <c r="A597" s="86"/>
      <c r="B597" s="91"/>
      <c r="C597" s="92"/>
      <c r="D597" s="82"/>
      <c r="E597" s="82"/>
      <c r="F597" s="96"/>
    </row>
    <row r="598" spans="1:6" ht="13.5">
      <c r="A598" s="86"/>
      <c r="B598" s="91"/>
      <c r="C598" s="92"/>
      <c r="D598" s="82"/>
      <c r="E598" s="82"/>
      <c r="F598" s="96"/>
    </row>
    <row r="599" spans="1:6" ht="13.5">
      <c r="A599" s="86"/>
      <c r="B599" s="91"/>
      <c r="C599" s="92"/>
      <c r="D599" s="82"/>
      <c r="E599" s="82"/>
      <c r="F599" s="96"/>
    </row>
    <row r="600" spans="1:6" ht="13.5">
      <c r="A600" s="86"/>
      <c r="B600" s="91"/>
      <c r="C600" s="92"/>
      <c r="D600" s="82"/>
      <c r="E600" s="82"/>
      <c r="F600" s="96"/>
    </row>
    <row r="601" spans="1:6" ht="13.5">
      <c r="A601" s="86"/>
      <c r="B601" s="91"/>
      <c r="C601" s="92"/>
      <c r="D601" s="82"/>
      <c r="E601" s="82"/>
      <c r="F601" s="96"/>
    </row>
    <row r="602" spans="1:6" ht="13.5">
      <c r="A602" s="86"/>
      <c r="B602" s="91"/>
      <c r="C602" s="92"/>
      <c r="D602" s="82"/>
      <c r="E602" s="82"/>
      <c r="F602" s="96"/>
    </row>
    <row r="603" spans="1:6" ht="13.5">
      <c r="A603" s="86"/>
      <c r="B603" s="91"/>
      <c r="C603" s="92"/>
      <c r="D603" s="82"/>
      <c r="E603" s="82"/>
      <c r="F603" s="96"/>
    </row>
    <row r="604" spans="1:6" ht="13.5">
      <c r="A604" s="86"/>
      <c r="B604" s="91"/>
      <c r="C604" s="92"/>
      <c r="D604" s="82"/>
      <c r="E604" s="82"/>
      <c r="F604" s="96"/>
    </row>
    <row r="605" spans="1:6" ht="13.5">
      <c r="A605" s="86"/>
      <c r="B605" s="91"/>
      <c r="C605" s="92"/>
      <c r="D605" s="82"/>
      <c r="E605" s="82"/>
      <c r="F605" s="96"/>
    </row>
    <row r="606" spans="1:6" ht="13.5">
      <c r="A606" s="86"/>
      <c r="B606" s="91"/>
      <c r="C606" s="92"/>
      <c r="D606" s="82"/>
      <c r="E606" s="82"/>
      <c r="F606" s="96"/>
    </row>
    <row r="607" spans="1:6" ht="13.5">
      <c r="A607" s="86"/>
      <c r="B607" s="91"/>
      <c r="C607" s="92"/>
      <c r="D607" s="82"/>
      <c r="E607" s="82"/>
      <c r="F607" s="96"/>
    </row>
    <row r="608" spans="1:6" ht="13.5">
      <c r="A608" s="86"/>
      <c r="B608" s="91"/>
      <c r="C608" s="92"/>
      <c r="D608" s="82"/>
      <c r="E608" s="82"/>
      <c r="F608" s="96"/>
    </row>
    <row r="609" spans="1:6" ht="13.5">
      <c r="A609" s="86"/>
      <c r="B609" s="91"/>
      <c r="C609" s="92"/>
      <c r="D609" s="82"/>
      <c r="E609" s="82"/>
      <c r="F609" s="96"/>
    </row>
    <row r="610" spans="1:6" ht="13.5">
      <c r="A610" s="86"/>
      <c r="B610" s="91"/>
      <c r="C610" s="92"/>
      <c r="D610" s="82"/>
      <c r="E610" s="82"/>
      <c r="F610" s="96"/>
    </row>
    <row r="611" spans="1:6" ht="13.5">
      <c r="A611" s="86"/>
      <c r="B611" s="91"/>
      <c r="C611" s="92"/>
      <c r="D611" s="82"/>
      <c r="E611" s="82"/>
      <c r="F611" s="96"/>
    </row>
    <row r="612" spans="1:6" ht="13.5">
      <c r="A612" s="86"/>
      <c r="B612" s="91"/>
      <c r="C612" s="92"/>
      <c r="D612" s="82"/>
      <c r="E612" s="82"/>
      <c r="F612" s="96"/>
    </row>
    <row r="613" spans="1:6" ht="13.5">
      <c r="A613" s="86"/>
      <c r="B613" s="91"/>
      <c r="C613" s="92"/>
      <c r="D613" s="82"/>
      <c r="E613" s="82"/>
      <c r="F613" s="96"/>
    </row>
    <row r="614" spans="1:6" ht="13.5">
      <c r="A614" s="86"/>
      <c r="B614" s="91"/>
      <c r="C614" s="92"/>
      <c r="D614" s="82"/>
      <c r="E614" s="82"/>
      <c r="F614" s="96"/>
    </row>
    <row r="615" spans="1:6" ht="13.5">
      <c r="A615" s="86"/>
      <c r="B615" s="91"/>
      <c r="C615" s="92"/>
      <c r="D615" s="82"/>
      <c r="E615" s="82"/>
      <c r="F615" s="96"/>
    </row>
    <row r="616" spans="1:6" ht="13.5">
      <c r="A616" s="86"/>
      <c r="B616" s="91"/>
      <c r="C616" s="92"/>
      <c r="D616" s="82"/>
      <c r="E616" s="82"/>
      <c r="F616" s="96"/>
    </row>
    <row r="617" spans="1:6" ht="13.5">
      <c r="A617" s="86"/>
      <c r="B617" s="91"/>
      <c r="C617" s="92"/>
      <c r="D617" s="82"/>
      <c r="E617" s="82"/>
      <c r="F617" s="96"/>
    </row>
    <row r="618" spans="1:6" ht="13.5">
      <c r="A618" s="86"/>
      <c r="B618" s="91"/>
      <c r="C618" s="92"/>
      <c r="D618" s="82"/>
      <c r="E618" s="82"/>
      <c r="F618" s="96"/>
    </row>
    <row r="619" spans="1:6" ht="13.5">
      <c r="A619" s="86"/>
      <c r="B619" s="91"/>
      <c r="C619" s="92"/>
      <c r="D619" s="82"/>
      <c r="E619" s="82"/>
      <c r="F619" s="96"/>
    </row>
    <row r="620" spans="1:6" ht="13.5">
      <c r="A620" s="86"/>
      <c r="B620" s="91"/>
      <c r="C620" s="92"/>
      <c r="D620" s="82"/>
      <c r="E620" s="82"/>
      <c r="F620" s="96"/>
    </row>
    <row r="621" spans="1:6" ht="13.5">
      <c r="A621" s="86"/>
      <c r="B621" s="91"/>
      <c r="C621" s="92"/>
      <c r="D621" s="82"/>
      <c r="E621" s="82"/>
      <c r="F621" s="96"/>
    </row>
    <row r="622" spans="1:6" ht="13.5">
      <c r="A622" s="86"/>
      <c r="B622" s="91"/>
      <c r="C622" s="92"/>
      <c r="D622" s="82"/>
      <c r="E622" s="82"/>
      <c r="F622" s="96"/>
    </row>
    <row r="623" spans="1:6" ht="13.5">
      <c r="A623" s="86"/>
      <c r="B623" s="91"/>
      <c r="C623" s="92"/>
      <c r="D623" s="82"/>
      <c r="E623" s="82"/>
      <c r="F623" s="96"/>
    </row>
    <row r="624" spans="1:6" ht="13.5">
      <c r="A624" s="86"/>
      <c r="B624" s="91"/>
      <c r="C624" s="92"/>
      <c r="D624" s="82"/>
      <c r="E624" s="82"/>
      <c r="F624" s="96"/>
    </row>
    <row r="625" spans="1:6" ht="13.5">
      <c r="A625" s="86"/>
      <c r="B625" s="91"/>
      <c r="C625" s="92"/>
      <c r="D625" s="82"/>
      <c r="E625" s="82"/>
      <c r="F625" s="96"/>
    </row>
    <row r="626" spans="1:6" ht="13.5">
      <c r="A626" s="86"/>
      <c r="B626" s="91"/>
      <c r="C626" s="92"/>
      <c r="D626" s="82"/>
      <c r="E626" s="82"/>
      <c r="F626" s="96"/>
    </row>
    <row r="627" spans="1:6" ht="13.5">
      <c r="A627" s="86"/>
      <c r="B627" s="91"/>
      <c r="C627" s="92"/>
      <c r="D627" s="82"/>
      <c r="E627" s="82"/>
      <c r="F627" s="96"/>
    </row>
    <row r="628" spans="1:6" ht="13.5">
      <c r="A628" s="86"/>
      <c r="B628" s="91"/>
      <c r="C628" s="92"/>
      <c r="D628" s="82"/>
      <c r="E628" s="82"/>
      <c r="F628" s="96"/>
    </row>
    <row r="629" spans="1:6" ht="13.5">
      <c r="A629" s="86"/>
      <c r="B629" s="91"/>
      <c r="C629" s="92"/>
      <c r="D629" s="82"/>
      <c r="E629" s="82"/>
      <c r="F629" s="96"/>
    </row>
    <row r="630" spans="1:6" ht="13.5">
      <c r="A630" s="86"/>
      <c r="B630" s="91"/>
      <c r="C630" s="92"/>
      <c r="D630" s="82"/>
      <c r="E630" s="82"/>
      <c r="F630" s="96"/>
    </row>
    <row r="631" spans="1:6" ht="13.5">
      <c r="A631" s="86"/>
      <c r="B631" s="91"/>
      <c r="C631" s="92"/>
      <c r="D631" s="82"/>
      <c r="E631" s="82"/>
      <c r="F631" s="96"/>
    </row>
    <row r="632" spans="1:6" ht="13.5">
      <c r="A632" s="86"/>
      <c r="B632" s="91"/>
      <c r="C632" s="92"/>
      <c r="D632" s="82"/>
      <c r="E632" s="82"/>
      <c r="F632" s="96"/>
    </row>
    <row r="633" spans="1:6" ht="13.5">
      <c r="A633" s="86"/>
      <c r="B633" s="91"/>
      <c r="C633" s="92"/>
      <c r="D633" s="82"/>
      <c r="E633" s="82"/>
      <c r="F633" s="96"/>
    </row>
    <row r="634" spans="1:6" ht="13.5">
      <c r="A634" s="86"/>
      <c r="B634" s="91"/>
      <c r="C634" s="92"/>
      <c r="D634" s="82"/>
      <c r="E634" s="82"/>
      <c r="F634" s="96"/>
    </row>
    <row r="635" spans="1:6" ht="13.5">
      <c r="A635" s="86"/>
      <c r="B635" s="91"/>
      <c r="C635" s="92"/>
      <c r="D635" s="82"/>
      <c r="E635" s="82"/>
      <c r="F635" s="96"/>
    </row>
    <row r="636" spans="1:6" ht="13.5">
      <c r="A636" s="86"/>
      <c r="B636" s="91"/>
      <c r="C636" s="92"/>
      <c r="D636" s="82"/>
      <c r="E636" s="82"/>
      <c r="F636" s="96"/>
    </row>
    <row r="637" spans="1:6" ht="13.5">
      <c r="A637" s="86"/>
      <c r="B637" s="91"/>
      <c r="C637" s="92"/>
      <c r="D637" s="82"/>
      <c r="E637" s="82"/>
      <c r="F637" s="96"/>
    </row>
    <row r="638" spans="1:6" ht="13.5">
      <c r="A638" s="86"/>
      <c r="B638" s="91"/>
      <c r="C638" s="92"/>
      <c r="D638" s="82"/>
      <c r="E638" s="82"/>
      <c r="F638" s="96"/>
    </row>
    <row r="639" spans="1:6" ht="13.5">
      <c r="A639" s="86"/>
      <c r="B639" s="91"/>
      <c r="C639" s="92"/>
      <c r="D639" s="82"/>
      <c r="E639" s="82"/>
      <c r="F639" s="96"/>
    </row>
    <row r="640" spans="1:6" ht="13.5">
      <c r="A640" s="86"/>
      <c r="B640" s="91"/>
      <c r="C640" s="92"/>
      <c r="D640" s="82"/>
      <c r="E640" s="82"/>
      <c r="F640" s="96"/>
    </row>
    <row r="641" spans="1:6" ht="13.5">
      <c r="A641" s="86"/>
      <c r="B641" s="91"/>
      <c r="C641" s="92"/>
      <c r="D641" s="82"/>
      <c r="E641" s="82"/>
      <c r="F641" s="96"/>
    </row>
    <row r="642" spans="1:6" ht="13.5">
      <c r="A642" s="86"/>
      <c r="B642" s="91"/>
      <c r="C642" s="92"/>
      <c r="D642" s="82"/>
      <c r="E642" s="82"/>
      <c r="F642" s="96"/>
    </row>
    <row r="643" spans="1:6" ht="13.5">
      <c r="A643" s="86"/>
      <c r="B643" s="91"/>
      <c r="C643" s="92"/>
      <c r="D643" s="82"/>
      <c r="E643" s="82"/>
      <c r="F643" s="96"/>
    </row>
    <row r="644" spans="1:6" ht="13.5">
      <c r="A644" s="86"/>
      <c r="B644" s="91"/>
      <c r="C644" s="92"/>
      <c r="D644" s="82"/>
      <c r="E644" s="82"/>
      <c r="F644" s="96"/>
    </row>
    <row r="645" spans="1:6" ht="13.5">
      <c r="A645" s="86"/>
      <c r="B645" s="91"/>
      <c r="C645" s="92"/>
      <c r="D645" s="82"/>
      <c r="E645" s="82"/>
      <c r="F645" s="96"/>
    </row>
    <row r="646" spans="1:6" ht="13.5">
      <c r="A646" s="86"/>
      <c r="B646" s="91"/>
      <c r="C646" s="92"/>
      <c r="D646" s="82"/>
      <c r="E646" s="82"/>
      <c r="F646" s="96"/>
    </row>
    <row r="647" spans="1:6" ht="13.5">
      <c r="A647" s="86"/>
      <c r="B647" s="91"/>
      <c r="C647" s="92"/>
      <c r="D647" s="82"/>
      <c r="E647" s="82"/>
      <c r="F647" s="96"/>
    </row>
    <row r="648" spans="1:6" ht="13.5">
      <c r="A648" s="86"/>
      <c r="B648" s="91"/>
      <c r="C648" s="92"/>
      <c r="D648" s="82"/>
      <c r="E648" s="82"/>
      <c r="F648" s="96"/>
    </row>
    <row r="649" spans="1:6" ht="13.5">
      <c r="A649" s="86"/>
      <c r="B649" s="91"/>
      <c r="C649" s="92"/>
      <c r="D649" s="82"/>
      <c r="E649" s="82"/>
      <c r="F649" s="96"/>
    </row>
    <row r="650" spans="1:6" ht="13.5">
      <c r="A650" s="86"/>
      <c r="B650" s="91"/>
      <c r="C650" s="92"/>
      <c r="D650" s="82"/>
      <c r="E650" s="82"/>
      <c r="F650" s="96"/>
    </row>
    <row r="651" spans="1:6" ht="13.5">
      <c r="A651" s="86"/>
      <c r="B651" s="91"/>
      <c r="C651" s="92"/>
      <c r="D651" s="82"/>
      <c r="E651" s="82"/>
      <c r="F651" s="96"/>
    </row>
    <row r="652" spans="1:6" ht="13.5">
      <c r="A652" s="86"/>
      <c r="B652" s="91"/>
      <c r="C652" s="92"/>
      <c r="D652" s="82"/>
      <c r="E652" s="82"/>
      <c r="F652" s="96"/>
    </row>
    <row r="653" spans="1:6" ht="13.5">
      <c r="A653" s="86"/>
      <c r="B653" s="91"/>
      <c r="C653" s="92"/>
      <c r="D653" s="82"/>
      <c r="E653" s="82"/>
      <c r="F653" s="96"/>
    </row>
    <row r="654" spans="1:6" ht="13.5">
      <c r="A654" s="86"/>
      <c r="B654" s="91"/>
      <c r="C654" s="92"/>
      <c r="D654" s="82"/>
      <c r="E654" s="82"/>
      <c r="F654" s="96"/>
    </row>
    <row r="655" spans="1:6" ht="13.5">
      <c r="A655" s="86"/>
      <c r="B655" s="91"/>
      <c r="C655" s="92"/>
      <c r="D655" s="82"/>
      <c r="E655" s="82"/>
      <c r="F655" s="96"/>
    </row>
    <row r="656" spans="1:6" ht="13.5">
      <c r="A656" s="86"/>
      <c r="B656" s="91"/>
      <c r="C656" s="92"/>
      <c r="D656" s="82"/>
      <c r="E656" s="82"/>
      <c r="F656" s="96"/>
    </row>
    <row r="657" spans="1:6" ht="13.5">
      <c r="A657" s="86"/>
      <c r="B657" s="91"/>
      <c r="C657" s="92"/>
      <c r="D657" s="82"/>
      <c r="E657" s="82"/>
      <c r="F657" s="96"/>
    </row>
    <row r="658" spans="1:6" ht="13.5">
      <c r="A658" s="86"/>
      <c r="B658" s="91"/>
      <c r="C658" s="92"/>
      <c r="D658" s="82"/>
      <c r="E658" s="82"/>
      <c r="F658" s="96"/>
    </row>
    <row r="659" spans="1:6" ht="13.5">
      <c r="A659" s="86"/>
      <c r="B659" s="91"/>
      <c r="C659" s="92"/>
      <c r="D659" s="82"/>
      <c r="E659" s="82"/>
      <c r="F659" s="96"/>
    </row>
    <row r="660" spans="1:6" ht="13.5">
      <c r="A660" s="86"/>
      <c r="B660" s="91"/>
      <c r="C660" s="92"/>
      <c r="D660" s="82"/>
      <c r="E660" s="82"/>
      <c r="F660" s="96"/>
    </row>
    <row r="661" spans="1:6" ht="13.5">
      <c r="A661" s="86"/>
      <c r="B661" s="91"/>
      <c r="C661" s="92"/>
      <c r="D661" s="82"/>
      <c r="E661" s="82"/>
      <c r="F661" s="96"/>
    </row>
    <row r="662" spans="1:6" ht="13.5">
      <c r="A662" s="86"/>
      <c r="B662" s="91"/>
      <c r="C662" s="92"/>
      <c r="D662" s="82"/>
      <c r="E662" s="82"/>
      <c r="F662" s="96"/>
    </row>
    <row r="663" spans="1:6" ht="13.5">
      <c r="A663" s="86"/>
      <c r="B663" s="91"/>
      <c r="C663" s="92"/>
      <c r="D663" s="82"/>
      <c r="E663" s="82"/>
      <c r="F663" s="96"/>
    </row>
    <row r="664" spans="1:6" ht="13.5">
      <c r="A664" s="86"/>
      <c r="B664" s="91"/>
      <c r="C664" s="92"/>
      <c r="D664" s="82"/>
      <c r="E664" s="82"/>
      <c r="F664" s="96"/>
    </row>
    <row r="665" spans="1:6" ht="13.5">
      <c r="A665" s="86"/>
      <c r="B665" s="91"/>
      <c r="C665" s="92"/>
      <c r="D665" s="82"/>
      <c r="E665" s="82"/>
      <c r="F665" s="96"/>
    </row>
    <row r="666" spans="1:6" ht="13.5">
      <c r="A666" s="86"/>
      <c r="B666" s="91"/>
      <c r="C666" s="92"/>
      <c r="D666" s="82"/>
      <c r="E666" s="82"/>
      <c r="F666" s="96"/>
    </row>
    <row r="667" spans="1:6" ht="13.5">
      <c r="A667" s="86"/>
      <c r="B667" s="91"/>
      <c r="C667" s="92"/>
      <c r="D667" s="82"/>
      <c r="E667" s="82"/>
      <c r="F667" s="96"/>
    </row>
    <row r="668" spans="1:6" ht="13.5">
      <c r="A668" s="86"/>
      <c r="B668" s="91"/>
      <c r="C668" s="92"/>
      <c r="D668" s="82"/>
      <c r="E668" s="82"/>
      <c r="F668" s="96"/>
    </row>
    <row r="669" spans="1:6" ht="13.5">
      <c r="A669" s="86"/>
      <c r="B669" s="91"/>
      <c r="C669" s="92"/>
      <c r="D669" s="82"/>
      <c r="E669" s="82"/>
      <c r="F669" s="96"/>
    </row>
    <row r="670" spans="1:6" ht="13.5">
      <c r="A670" s="86"/>
      <c r="B670" s="91"/>
      <c r="C670" s="92"/>
      <c r="D670" s="82"/>
      <c r="E670" s="82"/>
      <c r="F670" s="96"/>
    </row>
    <row r="671" spans="1:6" ht="13.5">
      <c r="A671" s="86"/>
      <c r="B671" s="91"/>
      <c r="C671" s="92"/>
      <c r="D671" s="82"/>
      <c r="E671" s="82"/>
      <c r="F671" s="96"/>
    </row>
    <row r="672" spans="1:6" ht="13.5">
      <c r="A672" s="86"/>
      <c r="B672" s="91"/>
      <c r="C672" s="92"/>
      <c r="D672" s="82"/>
      <c r="E672" s="82"/>
      <c r="F672" s="96"/>
    </row>
    <row r="673" spans="1:6" ht="13.5">
      <c r="A673" s="86"/>
      <c r="B673" s="91"/>
      <c r="C673" s="92"/>
      <c r="D673" s="82"/>
      <c r="E673" s="82"/>
      <c r="F673" s="96"/>
    </row>
    <row r="674" spans="1:6" ht="13.5">
      <c r="A674" s="86"/>
      <c r="B674" s="91"/>
      <c r="C674" s="92"/>
      <c r="D674" s="82"/>
      <c r="E674" s="82"/>
      <c r="F674" s="96"/>
    </row>
    <row r="675" spans="1:6" ht="13.5">
      <c r="A675" s="86"/>
      <c r="B675" s="91"/>
      <c r="C675" s="92"/>
      <c r="D675" s="82"/>
      <c r="E675" s="82"/>
      <c r="F675" s="96"/>
    </row>
    <row r="676" spans="1:6" ht="13.5">
      <c r="A676" s="86"/>
      <c r="B676" s="91"/>
      <c r="C676" s="92"/>
      <c r="D676" s="82"/>
      <c r="E676" s="82"/>
      <c r="F676" s="96"/>
    </row>
    <row r="677" spans="1:6" ht="13.5">
      <c r="A677" s="86"/>
      <c r="B677" s="91"/>
      <c r="C677" s="92"/>
      <c r="D677" s="82"/>
      <c r="E677" s="82"/>
      <c r="F677" s="96"/>
    </row>
    <row r="678" spans="1:6" ht="13.5">
      <c r="A678" s="86"/>
      <c r="B678" s="91"/>
      <c r="C678" s="92"/>
      <c r="D678" s="82"/>
      <c r="E678" s="82"/>
      <c r="F678" s="96"/>
    </row>
    <row r="679" spans="1:6" ht="13.5">
      <c r="A679" s="86"/>
      <c r="B679" s="91"/>
      <c r="C679" s="92"/>
      <c r="D679" s="82"/>
      <c r="E679" s="82"/>
      <c r="F679" s="96"/>
    </row>
    <row r="680" spans="1:6" ht="13.5">
      <c r="A680" s="86"/>
      <c r="B680" s="91"/>
      <c r="C680" s="92"/>
      <c r="D680" s="82"/>
      <c r="E680" s="82"/>
      <c r="F680" s="96"/>
    </row>
    <row r="681" spans="1:6" ht="13.5">
      <c r="A681" s="86"/>
      <c r="B681" s="91"/>
      <c r="C681" s="92"/>
      <c r="D681" s="82"/>
      <c r="E681" s="82"/>
      <c r="F681" s="96"/>
    </row>
    <row r="682" spans="1:6" ht="13.5">
      <c r="A682" s="86"/>
      <c r="B682" s="91"/>
      <c r="C682" s="92"/>
      <c r="D682" s="82"/>
      <c r="E682" s="82"/>
      <c r="F682" s="96"/>
    </row>
    <row r="683" spans="1:6" ht="13.5">
      <c r="A683" s="86"/>
      <c r="B683" s="91"/>
      <c r="C683" s="92"/>
      <c r="D683" s="82"/>
      <c r="E683" s="82"/>
      <c r="F683" s="96"/>
    </row>
    <row r="684" spans="1:6" ht="13.5">
      <c r="A684" s="86"/>
      <c r="B684" s="91"/>
      <c r="C684" s="92"/>
      <c r="D684" s="82"/>
      <c r="E684" s="82"/>
      <c r="F684" s="96"/>
    </row>
    <row r="685" spans="1:6" ht="13.5">
      <c r="A685" s="86"/>
      <c r="B685" s="91"/>
      <c r="C685" s="92"/>
      <c r="D685" s="82"/>
      <c r="E685" s="82"/>
      <c r="F685" s="96"/>
    </row>
    <row r="686" spans="1:6" ht="13.5">
      <c r="A686" s="86"/>
      <c r="B686" s="91"/>
      <c r="C686" s="92"/>
      <c r="D686" s="82"/>
      <c r="E686" s="82"/>
      <c r="F686" s="96"/>
    </row>
    <row r="687" spans="1:6" ht="13.5">
      <c r="A687" s="86"/>
      <c r="B687" s="91"/>
      <c r="C687" s="92"/>
      <c r="D687" s="82"/>
      <c r="E687" s="82"/>
      <c r="F687" s="96"/>
    </row>
    <row r="688" spans="1:6" ht="13.5">
      <c r="A688" s="86"/>
      <c r="B688" s="91"/>
      <c r="C688" s="92"/>
      <c r="D688" s="82"/>
      <c r="E688" s="82"/>
      <c r="F688" s="96"/>
    </row>
    <row r="689" spans="1:6" ht="13.5">
      <c r="A689" s="86"/>
      <c r="B689" s="91"/>
      <c r="C689" s="92"/>
      <c r="D689" s="82"/>
      <c r="E689" s="82"/>
      <c r="F689" s="96"/>
    </row>
    <row r="690" spans="1:6" ht="13.5">
      <c r="A690" s="86"/>
      <c r="B690" s="91"/>
      <c r="C690" s="92"/>
      <c r="D690" s="82"/>
      <c r="E690" s="82"/>
      <c r="F690" s="96"/>
    </row>
    <row r="691" spans="1:6" ht="13.5">
      <c r="A691" s="86"/>
      <c r="B691" s="91"/>
      <c r="C691" s="92"/>
      <c r="D691" s="82"/>
      <c r="E691" s="82"/>
      <c r="F691" s="96"/>
    </row>
    <row r="692" spans="1:6" ht="13.5">
      <c r="A692" s="86"/>
      <c r="B692" s="91"/>
      <c r="C692" s="92"/>
      <c r="D692" s="82"/>
      <c r="E692" s="82"/>
      <c r="F692" s="96"/>
    </row>
    <row r="693" spans="1:6" ht="13.5">
      <c r="A693" s="86"/>
      <c r="B693" s="91"/>
      <c r="C693" s="92"/>
      <c r="D693" s="82"/>
      <c r="E693" s="82"/>
      <c r="F693" s="96"/>
    </row>
    <row r="694" spans="1:6" ht="13.5">
      <c r="A694" s="86"/>
      <c r="B694" s="91"/>
      <c r="C694" s="92"/>
      <c r="D694" s="82"/>
      <c r="E694" s="82"/>
      <c r="F694" s="96"/>
    </row>
    <row r="695" spans="1:6" ht="13.5">
      <c r="A695" s="86"/>
      <c r="B695" s="91"/>
      <c r="C695" s="92"/>
      <c r="D695" s="82"/>
      <c r="E695" s="82"/>
      <c r="F695" s="96"/>
    </row>
    <row r="696" spans="1:6" ht="13.5">
      <c r="A696" s="86"/>
      <c r="B696" s="91"/>
      <c r="C696" s="92"/>
      <c r="D696" s="82"/>
      <c r="E696" s="82"/>
      <c r="F696" s="96"/>
    </row>
    <row r="697" spans="1:6" ht="13.5">
      <c r="A697" s="86"/>
      <c r="B697" s="91"/>
      <c r="C697" s="92"/>
      <c r="D697" s="82"/>
      <c r="E697" s="82"/>
      <c r="F697" s="96"/>
    </row>
    <row r="698" spans="1:6" ht="13.5">
      <c r="A698" s="86"/>
      <c r="B698" s="91"/>
      <c r="C698" s="92"/>
      <c r="D698" s="82"/>
      <c r="E698" s="82"/>
      <c r="F698" s="96"/>
    </row>
    <row r="699" spans="1:6" ht="13.5">
      <c r="A699" s="86"/>
      <c r="B699" s="91"/>
      <c r="C699" s="92"/>
      <c r="D699" s="82"/>
      <c r="E699" s="82"/>
      <c r="F699" s="96"/>
    </row>
    <row r="700" spans="1:6" ht="13.5">
      <c r="A700" s="86"/>
      <c r="B700" s="91"/>
      <c r="C700" s="92"/>
      <c r="D700" s="82"/>
      <c r="E700" s="82"/>
      <c r="F700" s="96"/>
    </row>
    <row r="701" spans="1:6" ht="13.5">
      <c r="A701" s="86"/>
      <c r="B701" s="91"/>
      <c r="C701" s="92"/>
      <c r="D701" s="82"/>
      <c r="E701" s="82"/>
      <c r="F701" s="96"/>
    </row>
    <row r="702" spans="1:6" ht="13.5">
      <c r="A702" s="86"/>
      <c r="B702" s="91"/>
      <c r="C702" s="92"/>
      <c r="D702" s="82"/>
      <c r="E702" s="82"/>
      <c r="F702" s="96"/>
    </row>
    <row r="703" spans="1:6" ht="13.5">
      <c r="A703" s="86"/>
      <c r="B703" s="91"/>
      <c r="C703" s="92"/>
      <c r="D703" s="82"/>
      <c r="E703" s="82"/>
      <c r="F703" s="96"/>
    </row>
    <row r="704" spans="1:6" ht="13.5">
      <c r="A704" s="86"/>
      <c r="B704" s="91"/>
      <c r="C704" s="92"/>
      <c r="D704" s="82"/>
      <c r="E704" s="82"/>
      <c r="F704" s="96"/>
    </row>
    <row r="705" spans="1:6" ht="13.5">
      <c r="A705" s="86"/>
      <c r="B705" s="91"/>
      <c r="C705" s="92"/>
      <c r="D705" s="82"/>
      <c r="E705" s="82"/>
      <c r="F705" s="96"/>
    </row>
    <row r="706" spans="1:6" ht="13.5">
      <c r="A706" s="86"/>
      <c r="B706" s="91"/>
      <c r="C706" s="92"/>
      <c r="D706" s="82"/>
      <c r="E706" s="82"/>
      <c r="F706" s="96"/>
    </row>
    <row r="707" spans="1:6" ht="13.5">
      <c r="A707" s="86"/>
      <c r="B707" s="91"/>
      <c r="C707" s="92"/>
      <c r="D707" s="82"/>
      <c r="E707" s="82"/>
      <c r="F707" s="96"/>
    </row>
    <row r="708" spans="1:6" ht="13.5">
      <c r="A708" s="86"/>
      <c r="B708" s="91"/>
      <c r="C708" s="92"/>
      <c r="D708" s="82"/>
      <c r="E708" s="82"/>
      <c r="F708" s="96"/>
    </row>
    <row r="709" spans="1:6" ht="13.5">
      <c r="A709" s="86"/>
      <c r="B709" s="91"/>
      <c r="C709" s="92"/>
      <c r="D709" s="82"/>
      <c r="E709" s="82"/>
      <c r="F709" s="96"/>
    </row>
    <row r="710" spans="1:6" ht="13.5">
      <c r="A710" s="86"/>
      <c r="B710" s="91"/>
      <c r="C710" s="92"/>
      <c r="D710" s="82"/>
      <c r="E710" s="82"/>
      <c r="F710" s="96"/>
    </row>
    <row r="711" spans="1:6" ht="13.5">
      <c r="A711" s="86"/>
      <c r="B711" s="91"/>
      <c r="C711" s="92"/>
      <c r="D711" s="82"/>
      <c r="E711" s="82"/>
      <c r="F711" s="96"/>
    </row>
    <row r="712" spans="1:6" ht="13.5">
      <c r="A712" s="86"/>
      <c r="B712" s="91"/>
      <c r="C712" s="92"/>
      <c r="D712" s="82"/>
      <c r="E712" s="82"/>
      <c r="F712" s="96"/>
    </row>
    <row r="713" spans="1:6" ht="13.5">
      <c r="A713" s="86"/>
      <c r="B713" s="91"/>
      <c r="C713" s="92"/>
      <c r="D713" s="82"/>
      <c r="E713" s="82"/>
      <c r="F713" s="96"/>
    </row>
    <row r="714" spans="1:6" ht="13.5">
      <c r="A714" s="86"/>
      <c r="B714" s="91"/>
      <c r="C714" s="92"/>
      <c r="D714" s="82"/>
      <c r="E714" s="82"/>
      <c r="F714" s="96"/>
    </row>
    <row r="715" spans="1:6" ht="13.5">
      <c r="A715" s="86"/>
      <c r="B715" s="91"/>
      <c r="C715" s="92"/>
      <c r="D715" s="82"/>
      <c r="E715" s="82"/>
      <c r="F715" s="96"/>
    </row>
    <row r="716" spans="1:6" ht="13.5">
      <c r="A716" s="86"/>
      <c r="B716" s="91"/>
      <c r="C716" s="92"/>
      <c r="D716" s="82"/>
      <c r="E716" s="82"/>
      <c r="F716" s="96"/>
    </row>
    <row r="717" spans="1:6" ht="13.5">
      <c r="A717" s="86"/>
      <c r="B717" s="91"/>
      <c r="C717" s="92"/>
      <c r="D717" s="82"/>
      <c r="E717" s="82"/>
      <c r="F717" s="96"/>
    </row>
    <row r="718" spans="1:6" ht="13.5">
      <c r="A718" s="86"/>
      <c r="B718" s="91"/>
      <c r="C718" s="92"/>
      <c r="D718" s="82"/>
      <c r="E718" s="82"/>
      <c r="F718" s="96"/>
    </row>
    <row r="719" spans="1:6" ht="13.5">
      <c r="A719" s="86"/>
      <c r="B719" s="91"/>
      <c r="C719" s="92"/>
      <c r="D719" s="82"/>
      <c r="E719" s="82"/>
      <c r="F719" s="96"/>
    </row>
    <row r="720" spans="1:6" ht="13.5">
      <c r="A720" s="86"/>
      <c r="B720" s="91"/>
      <c r="C720" s="92"/>
      <c r="D720" s="82"/>
      <c r="E720" s="82"/>
      <c r="F720" s="96"/>
    </row>
    <row r="721" spans="1:6" ht="13.5">
      <c r="A721" s="86"/>
      <c r="B721" s="91"/>
      <c r="C721" s="92"/>
      <c r="D721" s="82"/>
      <c r="E721" s="82"/>
      <c r="F721" s="96"/>
    </row>
    <row r="722" spans="1:6" ht="13.5">
      <c r="A722" s="86"/>
      <c r="B722" s="91"/>
      <c r="C722" s="92"/>
      <c r="D722" s="82"/>
      <c r="E722" s="82"/>
      <c r="F722" s="96"/>
    </row>
    <row r="723" spans="1:6" ht="13.5">
      <c r="A723" s="86"/>
      <c r="B723" s="91"/>
      <c r="C723" s="92"/>
      <c r="D723" s="82"/>
      <c r="E723" s="82"/>
      <c r="F723" s="96"/>
    </row>
    <row r="724" spans="1:6" ht="13.5">
      <c r="A724" s="86"/>
      <c r="B724" s="91"/>
      <c r="C724" s="92"/>
      <c r="D724" s="82"/>
      <c r="E724" s="82"/>
      <c r="F724" s="96"/>
    </row>
    <row r="725" spans="1:6" ht="13.5">
      <c r="A725" s="86"/>
      <c r="B725" s="91"/>
      <c r="C725" s="92"/>
      <c r="D725" s="82"/>
      <c r="E725" s="82"/>
      <c r="F725" s="96"/>
    </row>
    <row r="726" spans="1:6" ht="13.5">
      <c r="A726" s="86"/>
      <c r="B726" s="91"/>
      <c r="C726" s="92"/>
      <c r="D726" s="82"/>
      <c r="E726" s="82"/>
      <c r="F726" s="96"/>
    </row>
    <row r="727" spans="1:6" ht="13.5">
      <c r="A727" s="86"/>
      <c r="B727" s="91"/>
      <c r="C727" s="92"/>
      <c r="D727" s="82"/>
      <c r="E727" s="82"/>
      <c r="F727" s="96"/>
    </row>
    <row r="728" spans="1:6" ht="13.5">
      <c r="A728" s="86"/>
      <c r="B728" s="91"/>
      <c r="C728" s="92"/>
      <c r="D728" s="82"/>
      <c r="E728" s="82"/>
      <c r="F728" s="96"/>
    </row>
    <row r="729" spans="1:6" ht="13.5">
      <c r="A729" s="86"/>
      <c r="B729" s="91"/>
      <c r="C729" s="92"/>
      <c r="D729" s="82"/>
      <c r="E729" s="82"/>
      <c r="F729" s="96"/>
    </row>
    <row r="730" spans="1:6" ht="13.5">
      <c r="A730" s="86"/>
      <c r="B730" s="91"/>
      <c r="C730" s="92"/>
      <c r="D730" s="82"/>
      <c r="E730" s="82"/>
      <c r="F730" s="96"/>
    </row>
    <row r="731" spans="1:6" ht="13.5">
      <c r="A731" s="86"/>
      <c r="B731" s="91"/>
      <c r="C731" s="92"/>
      <c r="D731" s="82"/>
      <c r="E731" s="82"/>
      <c r="F731" s="96"/>
    </row>
    <row r="732" spans="1:6" ht="13.5">
      <c r="A732" s="86"/>
      <c r="B732" s="91"/>
      <c r="C732" s="92"/>
      <c r="D732" s="82"/>
      <c r="E732" s="82"/>
      <c r="F732" s="96"/>
    </row>
    <row r="733" spans="1:6" ht="13.5">
      <c r="A733" s="86"/>
      <c r="B733" s="91"/>
      <c r="C733" s="92"/>
      <c r="D733" s="82"/>
      <c r="E733" s="82"/>
      <c r="F733" s="96"/>
    </row>
    <row r="734" spans="1:6" ht="13.5">
      <c r="A734" s="86"/>
      <c r="B734" s="91"/>
      <c r="C734" s="92"/>
      <c r="D734" s="82"/>
      <c r="E734" s="82"/>
      <c r="F734" s="96"/>
    </row>
    <row r="735" spans="1:6" ht="13.5">
      <c r="A735" s="86"/>
      <c r="B735" s="91"/>
      <c r="C735" s="92"/>
      <c r="D735" s="82"/>
      <c r="E735" s="82"/>
      <c r="F735" s="96"/>
    </row>
    <row r="736" spans="1:6" ht="13.5">
      <c r="A736" s="86"/>
      <c r="B736" s="91"/>
      <c r="C736" s="92"/>
      <c r="D736" s="82"/>
      <c r="E736" s="82"/>
      <c r="F736" s="96"/>
    </row>
    <row r="737" spans="1:6" ht="13.5">
      <c r="A737" s="86"/>
      <c r="B737" s="91"/>
      <c r="C737" s="92"/>
      <c r="D737" s="82"/>
      <c r="E737" s="82"/>
      <c r="F737" s="96"/>
    </row>
    <row r="738" spans="1:6" ht="13.5">
      <c r="A738" s="86"/>
      <c r="B738" s="91"/>
      <c r="C738" s="92"/>
      <c r="D738" s="82"/>
      <c r="E738" s="82"/>
      <c r="F738" s="96"/>
    </row>
    <row r="739" spans="1:6" ht="13.5">
      <c r="A739" s="86"/>
      <c r="B739" s="91"/>
      <c r="C739" s="92"/>
      <c r="D739" s="82"/>
      <c r="E739" s="82"/>
      <c r="F739" s="96"/>
    </row>
    <row r="740" spans="1:6" ht="13.5">
      <c r="A740" s="86"/>
      <c r="B740" s="91"/>
      <c r="C740" s="92"/>
      <c r="D740" s="82"/>
      <c r="E740" s="82"/>
      <c r="F740" s="96"/>
    </row>
    <row r="741" spans="1:6" ht="13.5">
      <c r="A741" s="86"/>
      <c r="B741" s="91"/>
      <c r="C741" s="92"/>
      <c r="D741" s="82"/>
      <c r="E741" s="82"/>
      <c r="F741" s="96"/>
    </row>
    <row r="742" spans="1:6" ht="13.5">
      <c r="A742" s="86"/>
      <c r="B742" s="91"/>
      <c r="C742" s="92"/>
      <c r="D742" s="82"/>
      <c r="E742" s="82"/>
      <c r="F742" s="96"/>
    </row>
    <row r="743" spans="1:6" ht="13.5">
      <c r="A743" s="86"/>
      <c r="B743" s="91"/>
      <c r="C743" s="92"/>
      <c r="D743" s="82"/>
      <c r="E743" s="82"/>
      <c r="F743" s="96"/>
    </row>
    <row r="744" spans="1:6" ht="13.5">
      <c r="A744" s="86"/>
      <c r="B744" s="91"/>
      <c r="C744" s="92"/>
      <c r="D744" s="82"/>
      <c r="E744" s="82"/>
      <c r="F744" s="96"/>
    </row>
    <row r="745" spans="1:6" ht="13.5">
      <c r="A745" s="86"/>
      <c r="B745" s="91"/>
      <c r="C745" s="92"/>
      <c r="D745" s="82"/>
      <c r="E745" s="82"/>
      <c r="F745" s="96"/>
    </row>
    <row r="746" spans="1:6" ht="13.5">
      <c r="A746" s="86"/>
      <c r="B746" s="91"/>
      <c r="C746" s="92"/>
      <c r="D746" s="82"/>
      <c r="E746" s="82"/>
      <c r="F746" s="96"/>
    </row>
    <row r="747" spans="1:6" ht="13.5">
      <c r="A747" s="86"/>
      <c r="B747" s="91"/>
      <c r="C747" s="92"/>
      <c r="D747" s="82"/>
      <c r="E747" s="82"/>
      <c r="F747" s="96"/>
    </row>
    <row r="748" spans="1:6" ht="13.5">
      <c r="A748" s="86"/>
      <c r="B748" s="91"/>
      <c r="C748" s="92"/>
      <c r="D748" s="82"/>
      <c r="E748" s="82"/>
      <c r="F748" s="96"/>
    </row>
    <row r="749" spans="1:6" ht="13.5">
      <c r="A749" s="86"/>
      <c r="B749" s="91"/>
      <c r="C749" s="92"/>
      <c r="D749" s="82"/>
      <c r="E749" s="82"/>
      <c r="F749" s="96"/>
    </row>
    <row r="750" spans="1:6" ht="13.5">
      <c r="A750" s="86"/>
      <c r="B750" s="91"/>
      <c r="C750" s="92"/>
      <c r="D750" s="82"/>
      <c r="E750" s="82"/>
      <c r="F750" s="96"/>
    </row>
    <row r="751" spans="1:6" ht="13.5">
      <c r="A751" s="86"/>
      <c r="B751" s="91"/>
      <c r="C751" s="92"/>
      <c r="D751" s="82"/>
      <c r="E751" s="82"/>
      <c r="F751" s="96"/>
    </row>
    <row r="752" spans="1:6" ht="13.5">
      <c r="A752" s="86"/>
      <c r="B752" s="91"/>
      <c r="C752" s="92"/>
      <c r="D752" s="82"/>
      <c r="E752" s="82"/>
      <c r="F752" s="96"/>
    </row>
    <row r="753" spans="1:6" ht="13.5">
      <c r="A753" s="86"/>
      <c r="B753" s="91"/>
      <c r="C753" s="92"/>
      <c r="D753" s="82"/>
      <c r="E753" s="82"/>
      <c r="F753" s="96"/>
    </row>
    <row r="754" spans="1:6" ht="13.5">
      <c r="A754" s="86"/>
      <c r="B754" s="91"/>
      <c r="C754" s="92"/>
      <c r="D754" s="82"/>
      <c r="E754" s="82"/>
      <c r="F754" s="96"/>
    </row>
    <row r="755" spans="1:6" ht="13.5">
      <c r="A755" s="86"/>
      <c r="B755" s="91"/>
      <c r="C755" s="92"/>
      <c r="D755" s="82"/>
      <c r="E755" s="82"/>
      <c r="F755" s="96"/>
    </row>
    <row r="756" spans="1:6" ht="13.5">
      <c r="A756" s="86"/>
      <c r="B756" s="91"/>
      <c r="C756" s="92"/>
      <c r="D756" s="82"/>
      <c r="E756" s="82"/>
      <c r="F756" s="96"/>
    </row>
    <row r="757" spans="1:6" ht="13.5">
      <c r="A757" s="86"/>
      <c r="B757" s="91"/>
      <c r="C757" s="92"/>
      <c r="D757" s="82"/>
      <c r="E757" s="82"/>
      <c r="F757" s="96"/>
    </row>
    <row r="758" spans="1:6" ht="13.5">
      <c r="A758" s="86"/>
      <c r="B758" s="91"/>
      <c r="C758" s="92"/>
      <c r="D758" s="82"/>
      <c r="E758" s="82"/>
      <c r="F758" s="96"/>
    </row>
    <row r="759" spans="1:6" ht="13.5">
      <c r="A759" s="86"/>
      <c r="B759" s="91"/>
      <c r="C759" s="92"/>
      <c r="D759" s="82"/>
      <c r="E759" s="82"/>
      <c r="F759" s="96"/>
    </row>
    <row r="760" spans="1:6" ht="13.5">
      <c r="A760" s="86"/>
      <c r="B760" s="91"/>
      <c r="C760" s="92"/>
      <c r="D760" s="82"/>
      <c r="E760" s="82"/>
      <c r="F760" s="96"/>
    </row>
    <row r="761" spans="1:6" ht="13.5">
      <c r="A761" s="86"/>
      <c r="B761" s="91"/>
      <c r="C761" s="92"/>
      <c r="D761" s="82"/>
      <c r="E761" s="82"/>
      <c r="F761" s="96"/>
    </row>
    <row r="762" spans="1:6" ht="13.5">
      <c r="A762" s="86"/>
      <c r="B762" s="91"/>
      <c r="C762" s="92"/>
      <c r="D762" s="82"/>
      <c r="E762" s="82"/>
      <c r="F762" s="96"/>
    </row>
    <row r="763" spans="1:6" ht="13.5">
      <c r="A763" s="86"/>
      <c r="B763" s="91"/>
      <c r="C763" s="92"/>
      <c r="D763" s="82"/>
      <c r="E763" s="82"/>
      <c r="F763" s="96"/>
    </row>
    <row r="764" spans="1:6" ht="13.5">
      <c r="A764" s="86"/>
      <c r="B764" s="91"/>
      <c r="C764" s="92"/>
      <c r="D764" s="82"/>
      <c r="E764" s="82"/>
      <c r="F764" s="96"/>
    </row>
    <row r="765" spans="1:6" ht="13.5">
      <c r="A765" s="86"/>
      <c r="B765" s="91"/>
      <c r="C765" s="92"/>
      <c r="D765" s="82"/>
      <c r="E765" s="82"/>
      <c r="F765" s="96"/>
    </row>
    <row r="766" spans="1:6" ht="13.5">
      <c r="A766" s="86"/>
      <c r="B766" s="91"/>
      <c r="C766" s="92"/>
      <c r="D766" s="82"/>
      <c r="E766" s="82"/>
      <c r="F766" s="96"/>
    </row>
    <row r="767" spans="1:6" ht="13.5">
      <c r="A767" s="86"/>
      <c r="B767" s="91"/>
      <c r="C767" s="92"/>
      <c r="D767" s="82"/>
      <c r="E767" s="82"/>
      <c r="F767" s="96"/>
    </row>
    <row r="768" spans="1:6" ht="13.5">
      <c r="A768" s="86"/>
      <c r="B768" s="91"/>
      <c r="C768" s="92"/>
      <c r="D768" s="82"/>
      <c r="E768" s="82"/>
      <c r="F768" s="96"/>
    </row>
    <row r="769" spans="1:6" ht="13.5">
      <c r="A769" s="86"/>
      <c r="B769" s="91"/>
      <c r="C769" s="92"/>
      <c r="D769" s="82"/>
      <c r="E769" s="82"/>
      <c r="F769" s="96"/>
    </row>
    <row r="770" spans="1:6" ht="13.5">
      <c r="A770" s="86"/>
      <c r="B770" s="91"/>
      <c r="C770" s="92"/>
      <c r="D770" s="82"/>
      <c r="E770" s="82"/>
      <c r="F770" s="96"/>
    </row>
    <row r="771" spans="1:6" ht="13.5">
      <c r="A771" s="86"/>
      <c r="B771" s="91"/>
      <c r="C771" s="92"/>
      <c r="D771" s="82"/>
      <c r="E771" s="82"/>
      <c r="F771" s="96"/>
    </row>
    <row r="772" spans="1:6" ht="13.5">
      <c r="A772" s="86"/>
      <c r="B772" s="91"/>
      <c r="C772" s="92"/>
      <c r="D772" s="82"/>
      <c r="E772" s="82"/>
      <c r="F772" s="96"/>
    </row>
    <row r="773" spans="1:6" ht="13.5">
      <c r="A773" s="86"/>
      <c r="B773" s="91"/>
      <c r="C773" s="92"/>
      <c r="D773" s="82"/>
      <c r="E773" s="82"/>
      <c r="F773" s="96"/>
    </row>
    <row r="774" spans="1:6" ht="13.5">
      <c r="A774" s="86"/>
      <c r="B774" s="91"/>
      <c r="C774" s="92"/>
      <c r="D774" s="82"/>
      <c r="E774" s="82"/>
      <c r="F774" s="96"/>
    </row>
    <row r="775" spans="1:6" ht="13.5">
      <c r="A775" s="86"/>
      <c r="B775" s="91"/>
      <c r="C775" s="92"/>
      <c r="D775" s="82"/>
      <c r="E775" s="82"/>
      <c r="F775" s="96"/>
    </row>
    <row r="776" spans="1:6" ht="13.5">
      <c r="A776" s="86"/>
      <c r="B776" s="91"/>
      <c r="C776" s="92"/>
      <c r="D776" s="82"/>
      <c r="E776" s="82"/>
      <c r="F776" s="96"/>
    </row>
    <row r="777" spans="1:6" ht="13.5">
      <c r="A777" s="86"/>
      <c r="B777" s="91"/>
      <c r="C777" s="92"/>
      <c r="D777" s="82"/>
      <c r="E777" s="82"/>
      <c r="F777" s="96"/>
    </row>
    <row r="778" spans="1:6" ht="13.5">
      <c r="A778" s="86"/>
      <c r="B778" s="91"/>
      <c r="C778" s="92"/>
      <c r="D778" s="82"/>
      <c r="E778" s="82"/>
      <c r="F778" s="96"/>
    </row>
    <row r="779" spans="1:6" ht="13.5">
      <c r="A779" s="86"/>
      <c r="B779" s="91"/>
      <c r="C779" s="92"/>
      <c r="D779" s="82"/>
      <c r="E779" s="82"/>
      <c r="F779" s="96"/>
    </row>
    <row r="780" spans="1:6" ht="13.5">
      <c r="A780" s="86"/>
      <c r="B780" s="91"/>
      <c r="C780" s="92"/>
      <c r="D780" s="82"/>
      <c r="E780" s="82"/>
      <c r="F780" s="96"/>
    </row>
    <row r="781" spans="1:6" ht="13.5">
      <c r="A781" s="86"/>
      <c r="B781" s="91"/>
      <c r="C781" s="92"/>
      <c r="D781" s="82"/>
      <c r="E781" s="82"/>
      <c r="F781" s="96"/>
    </row>
    <row r="782" spans="1:6" ht="13.5">
      <c r="A782" s="86"/>
      <c r="B782" s="91"/>
      <c r="C782" s="92"/>
      <c r="D782" s="82"/>
      <c r="E782" s="82"/>
      <c r="F782" s="96"/>
    </row>
    <row r="783" spans="1:6" ht="13.5">
      <c r="A783" s="86"/>
      <c r="B783" s="91"/>
      <c r="C783" s="92"/>
      <c r="D783" s="82"/>
      <c r="E783" s="82"/>
      <c r="F783" s="96"/>
    </row>
    <row r="784" spans="1:6" ht="13.5">
      <c r="A784" s="86"/>
      <c r="B784" s="91"/>
      <c r="C784" s="92"/>
      <c r="D784" s="82"/>
      <c r="E784" s="82"/>
      <c r="F784" s="96"/>
    </row>
    <row r="785" spans="1:6" ht="13.5">
      <c r="A785" s="86"/>
      <c r="B785" s="91"/>
      <c r="C785" s="92"/>
      <c r="D785" s="82"/>
      <c r="E785" s="82"/>
      <c r="F785" s="96"/>
    </row>
    <row r="786" spans="1:6" ht="13.5">
      <c r="A786" s="86"/>
      <c r="B786" s="91"/>
      <c r="C786" s="92"/>
      <c r="D786" s="82"/>
      <c r="E786" s="82"/>
      <c r="F786" s="96"/>
    </row>
    <row r="787" spans="1:6" ht="13.5">
      <c r="A787" s="86"/>
      <c r="B787" s="91"/>
      <c r="C787" s="92"/>
      <c r="D787" s="82"/>
      <c r="E787" s="82"/>
      <c r="F787" s="96"/>
    </row>
    <row r="788" spans="1:6" ht="13.5">
      <c r="A788" s="86"/>
      <c r="B788" s="91"/>
      <c r="C788" s="92"/>
      <c r="D788" s="82"/>
      <c r="E788" s="82"/>
      <c r="F788" s="96"/>
    </row>
    <row r="789" spans="1:6" ht="13.5">
      <c r="A789" s="86"/>
      <c r="B789" s="91"/>
      <c r="C789" s="92"/>
      <c r="D789" s="82"/>
      <c r="E789" s="82"/>
      <c r="F789" s="96"/>
    </row>
    <row r="790" spans="1:6" ht="13.5">
      <c r="A790" s="86"/>
      <c r="B790" s="91"/>
      <c r="C790" s="92"/>
      <c r="D790" s="82"/>
      <c r="E790" s="82"/>
      <c r="F790" s="96"/>
    </row>
    <row r="791" spans="1:6" ht="13.5">
      <c r="A791" s="86"/>
      <c r="B791" s="91"/>
      <c r="C791" s="92"/>
      <c r="D791" s="82"/>
      <c r="E791" s="82"/>
      <c r="F791" s="96"/>
    </row>
    <row r="792" spans="1:6" ht="13.5">
      <c r="A792" s="86"/>
      <c r="B792" s="91"/>
      <c r="C792" s="92"/>
      <c r="D792" s="82"/>
      <c r="E792" s="82"/>
      <c r="F792" s="96"/>
    </row>
    <row r="793" spans="1:6" ht="13.5">
      <c r="A793" s="86"/>
      <c r="B793" s="91"/>
      <c r="C793" s="92"/>
      <c r="D793" s="82"/>
      <c r="E793" s="82"/>
      <c r="F793" s="96"/>
    </row>
    <row r="794" spans="1:6" ht="13.5">
      <c r="A794" s="86"/>
      <c r="B794" s="91"/>
      <c r="C794" s="92"/>
      <c r="D794" s="82"/>
      <c r="E794" s="82"/>
      <c r="F794" s="96"/>
    </row>
    <row r="795" spans="1:6" ht="13.5">
      <c r="A795" s="86"/>
      <c r="B795" s="91"/>
      <c r="C795" s="92"/>
      <c r="D795" s="82"/>
      <c r="E795" s="82"/>
      <c r="F795" s="96"/>
    </row>
    <row r="796" spans="1:6" ht="13.5">
      <c r="A796" s="86"/>
      <c r="B796" s="91"/>
      <c r="C796" s="92"/>
      <c r="D796" s="82"/>
      <c r="E796" s="82"/>
      <c r="F796" s="96"/>
    </row>
    <row r="797" spans="1:6" ht="13.5">
      <c r="A797" s="86"/>
      <c r="B797" s="91"/>
      <c r="C797" s="92"/>
      <c r="D797" s="82"/>
      <c r="E797" s="82"/>
      <c r="F797" s="96"/>
    </row>
    <row r="798" spans="1:6" ht="13.5">
      <c r="A798" s="86"/>
      <c r="B798" s="91"/>
      <c r="C798" s="92"/>
      <c r="D798" s="82"/>
      <c r="E798" s="82"/>
      <c r="F798" s="96"/>
    </row>
    <row r="799" spans="1:6" ht="13.5">
      <c r="A799" s="86"/>
      <c r="B799" s="91"/>
      <c r="C799" s="92"/>
      <c r="D799" s="82"/>
      <c r="E799" s="82"/>
      <c r="F799" s="96"/>
    </row>
    <row r="800" spans="1:6" ht="13.5">
      <c r="A800" s="86"/>
      <c r="B800" s="91"/>
      <c r="C800" s="92"/>
      <c r="D800" s="82"/>
      <c r="E800" s="82"/>
      <c r="F800" s="96"/>
    </row>
    <row r="801" spans="1:6" ht="13.5">
      <c r="A801" s="86"/>
      <c r="B801" s="91"/>
      <c r="C801" s="92"/>
      <c r="D801" s="82"/>
      <c r="E801" s="82"/>
      <c r="F801" s="96"/>
    </row>
    <row r="802" spans="1:6" ht="13.5">
      <c r="A802" s="86"/>
      <c r="B802" s="91"/>
      <c r="C802" s="92"/>
      <c r="D802" s="82"/>
      <c r="E802" s="82"/>
      <c r="F802" s="96"/>
    </row>
    <row r="803" spans="1:6" ht="13.5">
      <c r="A803" s="86"/>
      <c r="B803" s="91"/>
      <c r="C803" s="92"/>
      <c r="D803" s="82"/>
      <c r="E803" s="82"/>
      <c r="F803" s="96"/>
    </row>
    <row r="804" spans="1:6" ht="13.5">
      <c r="A804" s="86"/>
      <c r="B804" s="91"/>
      <c r="C804" s="92"/>
      <c r="D804" s="82"/>
      <c r="E804" s="82"/>
      <c r="F804" s="96"/>
    </row>
    <row r="805" spans="1:6" ht="13.5">
      <c r="A805" s="86"/>
      <c r="B805" s="91"/>
      <c r="C805" s="92"/>
      <c r="D805" s="82"/>
      <c r="E805" s="82"/>
      <c r="F805" s="96"/>
    </row>
    <row r="806" spans="1:6" ht="13.5">
      <c r="A806" s="86"/>
      <c r="B806" s="91"/>
      <c r="C806" s="92"/>
      <c r="D806" s="82"/>
      <c r="E806" s="82"/>
      <c r="F806" s="96"/>
    </row>
    <row r="807" spans="1:6" ht="13.5">
      <c r="A807" s="86"/>
      <c r="B807" s="91"/>
      <c r="C807" s="92"/>
      <c r="D807" s="82"/>
      <c r="E807" s="82"/>
      <c r="F807" s="96"/>
    </row>
    <row r="808" spans="1:6" ht="13.5">
      <c r="A808" s="86"/>
      <c r="B808" s="91"/>
      <c r="C808" s="92"/>
      <c r="D808" s="82"/>
      <c r="E808" s="82"/>
      <c r="F808" s="96"/>
    </row>
    <row r="809" spans="1:6" ht="13.5">
      <c r="A809" s="86"/>
      <c r="B809" s="91"/>
      <c r="C809" s="92"/>
      <c r="D809" s="82"/>
      <c r="E809" s="82"/>
      <c r="F809" s="96"/>
    </row>
    <row r="810" spans="1:6" ht="13.5">
      <c r="A810" s="86"/>
      <c r="B810" s="91"/>
      <c r="C810" s="92"/>
      <c r="D810" s="82"/>
      <c r="E810" s="82"/>
      <c r="F810" s="96"/>
    </row>
    <row r="811" spans="1:6" ht="13.5">
      <c r="A811" s="86"/>
      <c r="B811" s="91"/>
      <c r="C811" s="92"/>
      <c r="D811" s="82"/>
      <c r="E811" s="82"/>
      <c r="F811" s="96"/>
    </row>
    <row r="812" spans="1:6" ht="13.5">
      <c r="A812" s="86"/>
      <c r="B812" s="91"/>
      <c r="C812" s="92"/>
      <c r="D812" s="82"/>
      <c r="E812" s="82"/>
      <c r="F812" s="96"/>
    </row>
    <row r="813" spans="1:6" ht="13.5">
      <c r="A813" s="86"/>
      <c r="B813" s="91"/>
      <c r="C813" s="92"/>
      <c r="D813" s="82"/>
      <c r="E813" s="82"/>
      <c r="F813" s="96"/>
    </row>
    <row r="814" spans="1:6" ht="13.5">
      <c r="A814" s="86"/>
      <c r="B814" s="91"/>
      <c r="C814" s="92"/>
      <c r="D814" s="82"/>
      <c r="E814" s="82"/>
      <c r="F814" s="96"/>
    </row>
    <row r="815" spans="1:6" ht="13.5">
      <c r="A815" s="86"/>
      <c r="B815" s="91"/>
      <c r="C815" s="92"/>
      <c r="D815" s="82"/>
      <c r="E815" s="82"/>
      <c r="F815" s="96"/>
    </row>
    <row r="816" spans="1:6" ht="13.5">
      <c r="A816" s="86"/>
      <c r="B816" s="91"/>
      <c r="C816" s="92"/>
      <c r="D816" s="82"/>
      <c r="E816" s="82"/>
      <c r="F816" s="96"/>
    </row>
    <row r="817" spans="1:6" ht="13.5">
      <c r="A817" s="86"/>
      <c r="B817" s="91"/>
      <c r="C817" s="92"/>
      <c r="D817" s="82"/>
      <c r="E817" s="82"/>
      <c r="F817" s="96"/>
    </row>
    <row r="818" spans="1:6" ht="13.5">
      <c r="A818" s="86"/>
      <c r="B818" s="91"/>
      <c r="C818" s="92"/>
      <c r="D818" s="82"/>
      <c r="E818" s="82"/>
      <c r="F818" s="96"/>
    </row>
    <row r="819" spans="1:6" ht="13.5">
      <c r="A819" s="86"/>
      <c r="B819" s="91"/>
      <c r="C819" s="92"/>
      <c r="D819" s="82"/>
      <c r="E819" s="82"/>
      <c r="F819" s="96"/>
    </row>
    <row r="820" spans="1:6" ht="13.5">
      <c r="A820" s="86"/>
      <c r="B820" s="91"/>
      <c r="C820" s="92"/>
      <c r="D820" s="82"/>
      <c r="E820" s="82"/>
      <c r="F820" s="96"/>
    </row>
    <row r="821" spans="1:6" ht="13.5">
      <c r="A821" s="86"/>
      <c r="B821" s="91"/>
      <c r="C821" s="92"/>
      <c r="D821" s="82"/>
      <c r="E821" s="82"/>
      <c r="F821" s="96"/>
    </row>
    <row r="822" spans="1:6" ht="13.5">
      <c r="A822" s="86"/>
      <c r="B822" s="91"/>
      <c r="C822" s="92"/>
      <c r="D822" s="82"/>
      <c r="E822" s="82"/>
      <c r="F822" s="96"/>
    </row>
    <row r="823" spans="1:6" ht="13.5">
      <c r="A823" s="86"/>
      <c r="B823" s="91"/>
      <c r="C823" s="92"/>
      <c r="D823" s="82"/>
      <c r="E823" s="82"/>
      <c r="F823" s="96"/>
    </row>
    <row r="824" spans="1:6" ht="13.5">
      <c r="A824" s="86"/>
      <c r="B824" s="91"/>
      <c r="C824" s="92"/>
      <c r="D824" s="82"/>
      <c r="E824" s="82"/>
      <c r="F824" s="96"/>
    </row>
    <row r="825" spans="1:6" ht="13.5">
      <c r="A825" s="86"/>
      <c r="B825" s="91"/>
      <c r="C825" s="92"/>
      <c r="D825" s="82"/>
      <c r="E825" s="82"/>
      <c r="F825" s="96"/>
    </row>
    <row r="826" spans="1:6" ht="13.5">
      <c r="A826" s="86"/>
      <c r="B826" s="91"/>
      <c r="C826" s="92"/>
      <c r="D826" s="82"/>
      <c r="E826" s="82"/>
      <c r="F826" s="96"/>
    </row>
    <row r="827" spans="1:6" ht="13.5">
      <c r="A827" s="86"/>
      <c r="B827" s="91"/>
      <c r="C827" s="92"/>
      <c r="D827" s="82"/>
      <c r="E827" s="82"/>
      <c r="F827" s="96"/>
    </row>
    <row r="828" spans="1:6" ht="13.5">
      <c r="A828" s="86"/>
      <c r="B828" s="91"/>
      <c r="C828" s="92"/>
      <c r="D828" s="82"/>
      <c r="E828" s="82"/>
      <c r="F828" s="96"/>
    </row>
    <row r="829" spans="1:6" ht="13.5">
      <c r="A829" s="86"/>
      <c r="B829" s="91"/>
      <c r="C829" s="92"/>
      <c r="D829" s="82"/>
      <c r="E829" s="82"/>
      <c r="F829" s="96"/>
    </row>
    <row r="830" spans="1:6" ht="13.5">
      <c r="A830" s="86"/>
      <c r="B830" s="91"/>
      <c r="C830" s="92"/>
      <c r="D830" s="82"/>
      <c r="E830" s="82"/>
      <c r="F830" s="96"/>
    </row>
    <row r="831" spans="1:6" ht="13.5">
      <c r="A831" s="86"/>
      <c r="B831" s="91"/>
      <c r="C831" s="92"/>
      <c r="D831" s="82"/>
      <c r="E831" s="82"/>
      <c r="F831" s="96"/>
    </row>
    <row r="832" spans="1:6" ht="13.5">
      <c r="A832" s="86"/>
      <c r="B832" s="91"/>
      <c r="C832" s="92"/>
      <c r="D832" s="82"/>
      <c r="E832" s="82"/>
      <c r="F832" s="96"/>
    </row>
    <row r="833" spans="1:6" ht="13.5">
      <c r="A833" s="86"/>
      <c r="B833" s="91"/>
      <c r="C833" s="92"/>
      <c r="D833" s="82"/>
      <c r="E833" s="82"/>
      <c r="F833" s="96"/>
    </row>
    <row r="834" spans="1:6" ht="13.5">
      <c r="A834" s="86"/>
      <c r="B834" s="91"/>
      <c r="C834" s="92"/>
      <c r="D834" s="82"/>
      <c r="E834" s="82"/>
      <c r="F834" s="96"/>
    </row>
    <row r="835" spans="1:6" ht="13.5">
      <c r="A835" s="86"/>
      <c r="B835" s="91"/>
      <c r="C835" s="92"/>
      <c r="D835" s="82"/>
      <c r="E835" s="82"/>
      <c r="F835" s="96"/>
    </row>
    <row r="836" spans="1:6" ht="13.5">
      <c r="A836" s="86"/>
      <c r="B836" s="91"/>
      <c r="C836" s="92"/>
      <c r="D836" s="82"/>
      <c r="E836" s="82"/>
      <c r="F836" s="96"/>
    </row>
    <row r="837" spans="1:6" ht="13.5">
      <c r="A837" s="86"/>
      <c r="B837" s="91"/>
      <c r="C837" s="92"/>
      <c r="D837" s="82"/>
      <c r="E837" s="82"/>
      <c r="F837" s="96"/>
    </row>
    <row r="838" spans="1:6" ht="13.5">
      <c r="A838" s="86"/>
      <c r="B838" s="91"/>
      <c r="C838" s="92"/>
      <c r="D838" s="82"/>
      <c r="E838" s="82"/>
      <c r="F838" s="96"/>
    </row>
    <row r="839" spans="1:6" ht="13.5">
      <c r="A839" s="86"/>
      <c r="B839" s="91"/>
      <c r="C839" s="92"/>
      <c r="D839" s="82"/>
      <c r="E839" s="82"/>
      <c r="F839" s="96"/>
    </row>
    <row r="840" spans="1:6" ht="13.5">
      <c r="A840" s="86"/>
      <c r="B840" s="91"/>
      <c r="C840" s="92"/>
      <c r="D840" s="82"/>
      <c r="E840" s="82"/>
      <c r="F840" s="96"/>
    </row>
    <row r="841" spans="1:6" ht="13.5">
      <c r="A841" s="86"/>
      <c r="B841" s="91"/>
      <c r="C841" s="92"/>
      <c r="D841" s="82"/>
      <c r="E841" s="82"/>
      <c r="F841" s="96"/>
    </row>
    <row r="842" spans="1:6" ht="13.5">
      <c r="A842" s="86"/>
      <c r="B842" s="91"/>
      <c r="C842" s="92"/>
      <c r="D842" s="82"/>
      <c r="E842" s="82"/>
      <c r="F842" s="96"/>
    </row>
    <row r="843" spans="1:6" ht="13.5">
      <c r="A843" s="86"/>
      <c r="B843" s="91"/>
      <c r="C843" s="92"/>
      <c r="D843" s="82"/>
      <c r="E843" s="82"/>
      <c r="F843" s="96"/>
    </row>
    <row r="844" spans="1:6" ht="13.5">
      <c r="A844" s="86"/>
      <c r="B844" s="91"/>
      <c r="C844" s="92"/>
      <c r="D844" s="82"/>
      <c r="E844" s="82"/>
      <c r="F844" s="96"/>
    </row>
    <row r="845" spans="1:6" ht="13.5">
      <c r="A845" s="86"/>
      <c r="B845" s="91"/>
      <c r="C845" s="92"/>
      <c r="D845" s="82"/>
      <c r="E845" s="82"/>
      <c r="F845" s="96"/>
    </row>
    <row r="846" spans="1:6" ht="13.5">
      <c r="A846" s="86"/>
      <c r="B846" s="91"/>
      <c r="C846" s="92"/>
      <c r="D846" s="82"/>
      <c r="E846" s="82"/>
      <c r="F846" s="96"/>
    </row>
    <row r="847" spans="1:6" ht="13.5">
      <c r="A847" s="86"/>
      <c r="B847" s="91"/>
      <c r="C847" s="92"/>
      <c r="D847" s="82"/>
      <c r="E847" s="82"/>
      <c r="F847" s="96"/>
    </row>
    <row r="848" spans="1:6" ht="13.5">
      <c r="A848" s="86"/>
      <c r="B848" s="91"/>
      <c r="C848" s="92"/>
      <c r="D848" s="82"/>
      <c r="E848" s="82"/>
      <c r="F848" s="96"/>
    </row>
    <row r="849" spans="1:6" ht="13.5">
      <c r="A849" s="86"/>
      <c r="B849" s="91"/>
      <c r="C849" s="92"/>
      <c r="D849" s="82"/>
      <c r="E849" s="82"/>
      <c r="F849" s="96"/>
    </row>
    <row r="850" spans="1:6" ht="13.5">
      <c r="A850" s="86"/>
      <c r="B850" s="91"/>
      <c r="C850" s="92"/>
      <c r="D850" s="82"/>
      <c r="E850" s="82"/>
      <c r="F850" s="96"/>
    </row>
    <row r="851" spans="1:6" ht="13.5">
      <c r="A851" s="86"/>
      <c r="B851" s="91"/>
      <c r="C851" s="92"/>
      <c r="D851" s="82"/>
      <c r="E851" s="82"/>
      <c r="F851" s="96"/>
    </row>
    <row r="852" spans="1:6" ht="13.5">
      <c r="A852" s="86"/>
      <c r="B852" s="91"/>
      <c r="C852" s="92"/>
      <c r="D852" s="82"/>
      <c r="E852" s="82"/>
      <c r="F852" s="96"/>
    </row>
    <row r="853" spans="1:6" ht="13.5">
      <c r="A853" s="86"/>
      <c r="B853" s="91"/>
      <c r="C853" s="92"/>
      <c r="D853" s="82"/>
      <c r="E853" s="82"/>
      <c r="F853" s="96"/>
    </row>
    <row r="854" spans="1:6" ht="13.5">
      <c r="A854" s="86"/>
      <c r="B854" s="91"/>
      <c r="C854" s="92"/>
      <c r="D854" s="82"/>
      <c r="E854" s="82"/>
      <c r="F854" s="96"/>
    </row>
    <row r="855" spans="1:6" ht="13.5">
      <c r="A855" s="86"/>
      <c r="B855" s="91"/>
      <c r="C855" s="92"/>
      <c r="D855" s="82"/>
      <c r="E855" s="82"/>
      <c r="F855" s="96"/>
    </row>
    <row r="856" spans="1:6" ht="13.5">
      <c r="A856" s="86"/>
      <c r="B856" s="91"/>
      <c r="C856" s="92"/>
      <c r="D856" s="82"/>
      <c r="E856" s="82"/>
      <c r="F856" s="96"/>
    </row>
    <row r="857" spans="1:6" ht="13.5">
      <c r="A857" s="86"/>
      <c r="B857" s="91"/>
      <c r="C857" s="92"/>
      <c r="D857" s="82"/>
      <c r="E857" s="82"/>
      <c r="F857" s="96"/>
    </row>
    <row r="858" spans="1:6" ht="13.5">
      <c r="A858" s="86"/>
      <c r="B858" s="91"/>
      <c r="C858" s="92"/>
      <c r="D858" s="82"/>
      <c r="E858" s="82"/>
      <c r="F858" s="96"/>
    </row>
    <row r="859" spans="1:6" ht="13.5">
      <c r="A859" s="86"/>
      <c r="B859" s="91"/>
      <c r="C859" s="92"/>
      <c r="D859" s="82"/>
      <c r="E859" s="82"/>
      <c r="F859" s="96"/>
    </row>
    <row r="860" spans="1:6" ht="13.5">
      <c r="A860" s="86"/>
      <c r="B860" s="91"/>
      <c r="C860" s="92"/>
      <c r="D860" s="82"/>
      <c r="E860" s="82"/>
      <c r="F860" s="96"/>
    </row>
    <row r="861" spans="1:6" ht="13.5">
      <c r="A861" s="86"/>
      <c r="B861" s="91"/>
      <c r="C861" s="92"/>
      <c r="D861" s="82"/>
      <c r="E861" s="82"/>
      <c r="F861" s="96"/>
    </row>
    <row r="862" spans="1:6" ht="13.5">
      <c r="A862" s="86"/>
      <c r="B862" s="91"/>
      <c r="C862" s="92"/>
      <c r="D862" s="82"/>
      <c r="E862" s="82"/>
      <c r="F862" s="96"/>
    </row>
    <row r="863" spans="1:6" ht="13.5">
      <c r="A863" s="86"/>
      <c r="B863" s="91"/>
      <c r="C863" s="92"/>
      <c r="D863" s="82"/>
      <c r="E863" s="82"/>
      <c r="F863" s="96"/>
    </row>
    <row r="864" spans="1:6" ht="13.5">
      <c r="A864" s="86"/>
      <c r="B864" s="91"/>
      <c r="C864" s="92"/>
      <c r="D864" s="82"/>
      <c r="E864" s="82"/>
      <c r="F864" s="96"/>
    </row>
    <row r="865" spans="1:6" ht="13.5">
      <c r="A865" s="86"/>
      <c r="B865" s="91"/>
      <c r="C865" s="92"/>
      <c r="D865" s="82"/>
      <c r="E865" s="82"/>
      <c r="F865" s="96"/>
    </row>
    <row r="866" spans="1:6" ht="13.5">
      <c r="A866" s="86"/>
      <c r="B866" s="91"/>
      <c r="C866" s="92"/>
      <c r="D866" s="82"/>
      <c r="E866" s="82"/>
      <c r="F866" s="96"/>
    </row>
    <row r="867" spans="1:6" ht="13.5">
      <c r="A867" s="86"/>
      <c r="B867" s="91"/>
      <c r="C867" s="92"/>
      <c r="D867" s="82"/>
      <c r="E867" s="82"/>
      <c r="F867" s="96"/>
    </row>
    <row r="868" spans="1:6" ht="13.5">
      <c r="A868" s="86"/>
      <c r="B868" s="91"/>
      <c r="C868" s="92"/>
      <c r="D868" s="82"/>
      <c r="E868" s="82"/>
      <c r="F868" s="96"/>
    </row>
    <row r="869" spans="1:6" ht="13.5">
      <c r="A869" s="86"/>
      <c r="B869" s="91"/>
      <c r="C869" s="92"/>
      <c r="D869" s="82"/>
      <c r="E869" s="82"/>
      <c r="F869" s="96"/>
    </row>
    <row r="870" spans="1:6" ht="13.5">
      <c r="A870" s="86"/>
      <c r="B870" s="91"/>
      <c r="C870" s="92"/>
      <c r="D870" s="82"/>
      <c r="E870" s="82"/>
      <c r="F870" s="96"/>
    </row>
    <row r="871" spans="1:6" ht="13.5">
      <c r="A871" s="86"/>
      <c r="B871" s="91"/>
      <c r="C871" s="92"/>
      <c r="D871" s="82"/>
      <c r="E871" s="82"/>
      <c r="F871" s="96"/>
    </row>
    <row r="872" spans="1:6" ht="13.5">
      <c r="A872" s="86"/>
      <c r="B872" s="91"/>
      <c r="C872" s="92"/>
      <c r="D872" s="82"/>
      <c r="E872" s="82"/>
      <c r="F872" s="96"/>
    </row>
    <row r="873" spans="1:6" ht="13.5">
      <c r="A873" s="86"/>
      <c r="B873" s="91"/>
      <c r="C873" s="92"/>
      <c r="D873" s="82"/>
      <c r="E873" s="82"/>
      <c r="F873" s="96"/>
    </row>
    <row r="874" spans="1:6" ht="13.5">
      <c r="A874" s="86"/>
      <c r="B874" s="91"/>
      <c r="C874" s="92"/>
      <c r="D874" s="82"/>
      <c r="E874" s="82"/>
      <c r="F874" s="96"/>
    </row>
    <row r="875" spans="1:6" ht="13.5">
      <c r="A875" s="86"/>
      <c r="B875" s="91"/>
      <c r="C875" s="92"/>
      <c r="D875" s="82"/>
      <c r="E875" s="82"/>
      <c r="F875" s="96"/>
    </row>
    <row r="876" spans="1:6" ht="13.5">
      <c r="A876" s="86"/>
      <c r="B876" s="91"/>
      <c r="C876" s="92"/>
      <c r="D876" s="82"/>
      <c r="E876" s="82"/>
      <c r="F876" s="96"/>
    </row>
    <row r="877" spans="1:6" ht="13.5">
      <c r="A877" s="86"/>
      <c r="B877" s="91"/>
      <c r="C877" s="92"/>
      <c r="D877" s="82"/>
      <c r="E877" s="82"/>
      <c r="F877" s="96"/>
    </row>
    <row r="878" spans="1:6" ht="13.5">
      <c r="A878" s="86"/>
      <c r="B878" s="91"/>
      <c r="C878" s="92"/>
      <c r="D878" s="82"/>
      <c r="E878" s="82"/>
      <c r="F878" s="96"/>
    </row>
    <row r="879" spans="1:6" ht="13.5">
      <c r="A879" s="86"/>
      <c r="B879" s="91"/>
      <c r="C879" s="92"/>
      <c r="D879" s="82"/>
      <c r="E879" s="82"/>
      <c r="F879" s="96"/>
    </row>
    <row r="880" spans="1:6" ht="13.5">
      <c r="A880" s="86"/>
      <c r="B880" s="91"/>
      <c r="C880" s="92"/>
      <c r="D880" s="82"/>
      <c r="E880" s="82"/>
      <c r="F880" s="96"/>
    </row>
    <row r="881" spans="1:6" ht="13.5">
      <c r="A881" s="86"/>
      <c r="B881" s="91"/>
      <c r="C881" s="92"/>
      <c r="D881" s="82"/>
      <c r="E881" s="82"/>
      <c r="F881" s="96"/>
    </row>
    <row r="882" spans="1:6" ht="13.5">
      <c r="A882" s="86"/>
      <c r="B882" s="91"/>
      <c r="C882" s="92"/>
      <c r="D882" s="82"/>
      <c r="E882" s="82"/>
      <c r="F882" s="96"/>
    </row>
    <row r="883" spans="1:6" ht="13.5">
      <c r="A883" s="86"/>
      <c r="B883" s="91"/>
      <c r="C883" s="92"/>
      <c r="D883" s="82"/>
      <c r="E883" s="82"/>
      <c r="F883" s="96"/>
    </row>
    <row r="884" spans="1:6" ht="13.5">
      <c r="A884" s="86"/>
      <c r="B884" s="91"/>
      <c r="C884" s="92"/>
      <c r="D884" s="82"/>
      <c r="E884" s="82"/>
      <c r="F884" s="96"/>
    </row>
    <row r="885" spans="1:6" ht="13.5">
      <c r="A885" s="86"/>
      <c r="B885" s="91"/>
      <c r="C885" s="92"/>
      <c r="D885" s="82"/>
      <c r="E885" s="82"/>
      <c r="F885" s="96"/>
    </row>
    <row r="886" spans="1:6" ht="13.5">
      <c r="A886" s="86"/>
      <c r="B886" s="91"/>
      <c r="C886" s="92"/>
      <c r="D886" s="82"/>
      <c r="E886" s="82"/>
      <c r="F886" s="96"/>
    </row>
    <row r="887" spans="1:6" ht="13.5">
      <c r="A887" s="86"/>
      <c r="B887" s="91"/>
      <c r="C887" s="92"/>
      <c r="D887" s="82"/>
      <c r="E887" s="82"/>
      <c r="F887" s="96"/>
    </row>
    <row r="888" spans="1:6" ht="13.5">
      <c r="A888" s="86"/>
      <c r="B888" s="91"/>
      <c r="C888" s="92"/>
      <c r="D888" s="82"/>
      <c r="E888" s="82"/>
      <c r="F888" s="96"/>
    </row>
    <row r="889" spans="1:6" ht="13.5">
      <c r="A889" s="86"/>
      <c r="B889" s="91"/>
      <c r="C889" s="92"/>
      <c r="D889" s="82"/>
      <c r="E889" s="82"/>
      <c r="F889" s="96"/>
    </row>
    <row r="890" spans="1:6" ht="13.5">
      <c r="A890" s="86"/>
      <c r="B890" s="91"/>
      <c r="C890" s="92"/>
      <c r="D890" s="82"/>
      <c r="E890" s="82"/>
      <c r="F890" s="96"/>
    </row>
    <row r="891" spans="1:6" ht="13.5">
      <c r="A891" s="86"/>
      <c r="B891" s="91"/>
      <c r="C891" s="92"/>
      <c r="D891" s="82"/>
      <c r="E891" s="82"/>
      <c r="F891" s="96"/>
    </row>
    <row r="892" spans="1:6" ht="13.5">
      <c r="A892" s="86"/>
      <c r="B892" s="91"/>
      <c r="C892" s="92"/>
      <c r="D892" s="82"/>
      <c r="E892" s="82"/>
      <c r="F892" s="96"/>
    </row>
    <row r="893" spans="1:6" ht="13.5">
      <c r="A893" s="86"/>
      <c r="B893" s="91"/>
      <c r="C893" s="92"/>
      <c r="D893" s="82"/>
      <c r="E893" s="82"/>
      <c r="F893" s="96"/>
    </row>
    <row r="894" spans="1:6" ht="13.5">
      <c r="A894" s="86"/>
      <c r="B894" s="91"/>
      <c r="C894" s="92"/>
      <c r="D894" s="82"/>
      <c r="E894" s="82"/>
      <c r="F894" s="96"/>
    </row>
    <row r="895" spans="1:6" ht="13.5">
      <c r="A895" s="86"/>
      <c r="B895" s="91"/>
      <c r="C895" s="92"/>
      <c r="D895" s="82"/>
      <c r="E895" s="82"/>
      <c r="F895" s="96"/>
    </row>
    <row r="896" spans="1:6" ht="13.5">
      <c r="A896" s="86"/>
      <c r="B896" s="91"/>
      <c r="C896" s="92"/>
      <c r="D896" s="82"/>
      <c r="E896" s="82"/>
      <c r="F896" s="96"/>
    </row>
    <row r="897" spans="1:6" ht="13.5">
      <c r="A897" s="86"/>
      <c r="B897" s="91"/>
      <c r="C897" s="92"/>
      <c r="D897" s="82"/>
      <c r="E897" s="82"/>
      <c r="F897" s="96"/>
    </row>
    <row r="898" spans="1:6" ht="13.5">
      <c r="A898" s="86"/>
      <c r="B898" s="91"/>
      <c r="C898" s="92"/>
      <c r="D898" s="82"/>
      <c r="E898" s="82"/>
      <c r="F898" s="96"/>
    </row>
    <row r="899" spans="1:6" ht="13.5">
      <c r="A899" s="86"/>
      <c r="B899" s="91"/>
      <c r="C899" s="92"/>
      <c r="D899" s="82"/>
      <c r="E899" s="82"/>
      <c r="F899" s="96"/>
    </row>
    <row r="900" spans="1:6" ht="13.5">
      <c r="A900" s="86"/>
      <c r="B900" s="91"/>
      <c r="C900" s="92"/>
      <c r="D900" s="82"/>
      <c r="E900" s="82"/>
      <c r="F900" s="96"/>
    </row>
    <row r="901" spans="1:6" ht="13.5">
      <c r="A901" s="86"/>
      <c r="B901" s="91"/>
      <c r="C901" s="92"/>
      <c r="D901" s="82"/>
      <c r="E901" s="82"/>
      <c r="F901" s="96"/>
    </row>
    <row r="902" spans="1:6" ht="13.5">
      <c r="A902" s="86"/>
      <c r="B902" s="91"/>
      <c r="C902" s="92"/>
      <c r="D902" s="82"/>
      <c r="E902" s="82"/>
      <c r="F902" s="96"/>
    </row>
    <row r="903" spans="1:6" ht="13.5">
      <c r="A903" s="86"/>
      <c r="B903" s="91"/>
      <c r="C903" s="92"/>
      <c r="D903" s="82"/>
      <c r="E903" s="82"/>
      <c r="F903" s="96"/>
    </row>
    <row r="904" spans="1:6" ht="13.5">
      <c r="A904" s="86"/>
      <c r="B904" s="91"/>
      <c r="C904" s="92"/>
      <c r="D904" s="82"/>
      <c r="E904" s="82"/>
      <c r="F904" s="96"/>
    </row>
    <row r="905" spans="1:6" ht="13.5">
      <c r="A905" s="86"/>
      <c r="B905" s="91"/>
      <c r="C905" s="92"/>
      <c r="D905" s="82"/>
      <c r="E905" s="82"/>
      <c r="F905" s="96"/>
    </row>
    <row r="906" spans="1:6" ht="13.5">
      <c r="A906" s="86"/>
      <c r="B906" s="91"/>
      <c r="C906" s="92"/>
      <c r="D906" s="82"/>
      <c r="E906" s="82"/>
      <c r="F906" s="96"/>
    </row>
    <row r="907" spans="1:6" ht="13.5">
      <c r="A907" s="86"/>
      <c r="B907" s="91"/>
      <c r="C907" s="92"/>
      <c r="D907" s="82"/>
      <c r="E907" s="82"/>
      <c r="F907" s="96"/>
    </row>
    <row r="908" spans="1:6" ht="13.5">
      <c r="A908" s="86"/>
      <c r="B908" s="91"/>
      <c r="C908" s="92"/>
      <c r="D908" s="82"/>
      <c r="E908" s="82"/>
      <c r="F908" s="96"/>
    </row>
    <row r="909" spans="1:6" ht="13.5">
      <c r="A909" s="86"/>
      <c r="B909" s="91"/>
      <c r="C909" s="92"/>
      <c r="D909" s="82"/>
      <c r="E909" s="82"/>
      <c r="F909" s="96"/>
    </row>
    <row r="910" spans="1:6" ht="13.5">
      <c r="A910" s="86"/>
      <c r="B910" s="91"/>
      <c r="C910" s="92"/>
      <c r="D910" s="82"/>
      <c r="E910" s="82"/>
      <c r="F910" s="96"/>
    </row>
    <row r="911" spans="1:6" ht="13.5">
      <c r="A911" s="86"/>
      <c r="B911" s="91"/>
      <c r="C911" s="92"/>
      <c r="D911" s="82"/>
      <c r="E911" s="82"/>
      <c r="F911" s="96"/>
    </row>
    <row r="912" spans="1:6" ht="13.5">
      <c r="A912" s="86"/>
      <c r="B912" s="91"/>
      <c r="C912" s="92"/>
      <c r="D912" s="82"/>
      <c r="E912" s="82"/>
      <c r="F912" s="96"/>
    </row>
    <row r="913" spans="1:6" ht="13.5">
      <c r="A913" s="86"/>
      <c r="B913" s="91"/>
      <c r="C913" s="92"/>
      <c r="D913" s="82"/>
      <c r="E913" s="82"/>
      <c r="F913" s="96"/>
    </row>
    <row r="914" spans="1:6" ht="13.5">
      <c r="A914" s="86"/>
      <c r="B914" s="91"/>
      <c r="C914" s="92"/>
      <c r="D914" s="82"/>
      <c r="E914" s="82"/>
      <c r="F914" s="96"/>
    </row>
    <row r="915" spans="1:6" ht="13.5">
      <c r="A915" s="86"/>
      <c r="B915" s="91"/>
      <c r="C915" s="92"/>
      <c r="D915" s="82"/>
      <c r="E915" s="82"/>
      <c r="F915" s="96"/>
    </row>
    <row r="916" spans="1:6" ht="13.5">
      <c r="A916" s="86"/>
      <c r="B916" s="91"/>
      <c r="C916" s="92"/>
      <c r="D916" s="82"/>
      <c r="E916" s="82"/>
      <c r="F916" s="96"/>
    </row>
    <row r="917" spans="1:6" ht="13.5">
      <c r="A917" s="86"/>
      <c r="B917" s="91"/>
      <c r="C917" s="92"/>
      <c r="D917" s="82"/>
      <c r="E917" s="82"/>
      <c r="F917" s="96"/>
    </row>
    <row r="918" spans="1:6" ht="13.5">
      <c r="A918" s="86"/>
      <c r="B918" s="91"/>
      <c r="C918" s="92"/>
      <c r="D918" s="82"/>
      <c r="E918" s="82"/>
      <c r="F918" s="96"/>
    </row>
    <row r="919" spans="1:6" ht="13.5">
      <c r="A919" s="86"/>
      <c r="B919" s="91"/>
      <c r="C919" s="92"/>
      <c r="D919" s="82"/>
      <c r="E919" s="82"/>
      <c r="F919" s="96"/>
    </row>
    <row r="920" spans="1:6" ht="13.5">
      <c r="A920" s="86"/>
      <c r="B920" s="91"/>
      <c r="C920" s="92"/>
      <c r="D920" s="82"/>
      <c r="E920" s="82"/>
      <c r="F920" s="96"/>
    </row>
    <row r="921" spans="1:6" ht="13.5">
      <c r="A921" s="86"/>
      <c r="B921" s="91"/>
      <c r="C921" s="92"/>
      <c r="D921" s="82"/>
      <c r="E921" s="82"/>
      <c r="F921" s="96"/>
    </row>
    <row r="922" spans="1:6" ht="13.5">
      <c r="A922" s="86"/>
      <c r="B922" s="91"/>
      <c r="C922" s="92"/>
      <c r="D922" s="82"/>
      <c r="E922" s="82"/>
      <c r="F922" s="96"/>
    </row>
    <row r="923" spans="1:6" ht="13.5">
      <c r="A923" s="86"/>
      <c r="B923" s="91"/>
      <c r="C923" s="92"/>
      <c r="D923" s="82"/>
      <c r="E923" s="82"/>
      <c r="F923" s="96"/>
    </row>
    <row r="924" spans="1:6" ht="13.5">
      <c r="A924" s="86"/>
      <c r="B924" s="91"/>
      <c r="C924" s="92"/>
      <c r="D924" s="82"/>
      <c r="E924" s="82"/>
      <c r="F924" s="96"/>
    </row>
    <row r="925" spans="1:6" ht="13.5">
      <c r="A925" s="86"/>
      <c r="B925" s="91"/>
      <c r="C925" s="92"/>
      <c r="D925" s="82"/>
      <c r="E925" s="82"/>
      <c r="F925" s="96"/>
    </row>
    <row r="926" spans="1:6" ht="13.5">
      <c r="A926" s="86"/>
      <c r="B926" s="91"/>
      <c r="C926" s="92"/>
      <c r="D926" s="82"/>
      <c r="E926" s="82"/>
      <c r="F926" s="96"/>
    </row>
    <row r="927" spans="1:6" ht="13.5">
      <c r="A927" s="86"/>
      <c r="B927" s="91"/>
      <c r="C927" s="92"/>
      <c r="D927" s="82"/>
      <c r="E927" s="82"/>
      <c r="F927" s="96"/>
    </row>
    <row r="928" spans="1:6" ht="13.5">
      <c r="A928" s="86"/>
      <c r="B928" s="91"/>
      <c r="C928" s="92"/>
      <c r="D928" s="82"/>
      <c r="E928" s="82"/>
      <c r="F928" s="96"/>
    </row>
    <row r="929" spans="1:6" ht="13.5">
      <c r="A929" s="86"/>
      <c r="B929" s="91"/>
      <c r="C929" s="92"/>
      <c r="D929" s="82"/>
      <c r="E929" s="82"/>
      <c r="F929" s="96"/>
    </row>
    <row r="930" spans="1:6" ht="13.5">
      <c r="A930" s="86"/>
      <c r="B930" s="91"/>
      <c r="C930" s="92"/>
      <c r="D930" s="82"/>
      <c r="E930" s="82"/>
      <c r="F930" s="96"/>
    </row>
    <row r="931" spans="1:6" ht="13.5">
      <c r="A931" s="86"/>
      <c r="B931" s="91"/>
      <c r="C931" s="92"/>
      <c r="D931" s="82"/>
      <c r="E931" s="82"/>
      <c r="F931" s="96"/>
    </row>
    <row r="932" spans="1:6" ht="13.5">
      <c r="A932" s="86"/>
      <c r="B932" s="91"/>
      <c r="C932" s="92"/>
      <c r="D932" s="82"/>
      <c r="E932" s="82"/>
      <c r="F932" s="96"/>
    </row>
    <row r="933" spans="1:6" ht="13.5">
      <c r="A933" s="86"/>
      <c r="B933" s="91"/>
      <c r="C933" s="92"/>
      <c r="D933" s="82"/>
      <c r="E933" s="82"/>
      <c r="F933" s="96"/>
    </row>
    <row r="934" spans="1:6" ht="13.5">
      <c r="A934" s="86"/>
      <c r="B934" s="91"/>
      <c r="C934" s="92"/>
      <c r="D934" s="82"/>
      <c r="E934" s="82"/>
      <c r="F934" s="96"/>
    </row>
    <row r="935" spans="1:6" ht="13.5">
      <c r="A935" s="86"/>
      <c r="B935" s="91"/>
      <c r="C935" s="92"/>
      <c r="D935" s="82"/>
      <c r="E935" s="82"/>
      <c r="F935" s="96"/>
    </row>
    <row r="936" spans="1:6" ht="13.5">
      <c r="A936" s="86"/>
      <c r="B936" s="91"/>
      <c r="C936" s="92"/>
      <c r="D936" s="82"/>
      <c r="E936" s="82"/>
      <c r="F936" s="96"/>
    </row>
    <row r="937" spans="1:6" ht="13.5">
      <c r="A937" s="86"/>
      <c r="B937" s="91"/>
      <c r="C937" s="92"/>
      <c r="D937" s="82"/>
      <c r="E937" s="82"/>
      <c r="F937" s="96"/>
    </row>
    <row r="938" spans="1:6" ht="13.5">
      <c r="A938" s="86"/>
      <c r="B938" s="91"/>
      <c r="C938" s="92"/>
      <c r="D938" s="82"/>
      <c r="E938" s="82"/>
      <c r="F938" s="96"/>
    </row>
    <row r="939" spans="1:6" ht="13.5">
      <c r="A939" s="86"/>
      <c r="B939" s="91"/>
      <c r="C939" s="92"/>
      <c r="D939" s="82"/>
      <c r="E939" s="82"/>
      <c r="F939" s="96"/>
    </row>
    <row r="940" spans="1:6" ht="13.5">
      <c r="A940" s="86"/>
      <c r="B940" s="91"/>
      <c r="C940" s="92"/>
      <c r="D940" s="82"/>
      <c r="E940" s="82"/>
      <c r="F940" s="96"/>
    </row>
    <row r="941" spans="1:6" ht="13.5">
      <c r="A941" s="86"/>
      <c r="B941" s="91"/>
      <c r="C941" s="92"/>
      <c r="D941" s="82"/>
      <c r="E941" s="82"/>
      <c r="F941" s="96"/>
    </row>
    <row r="942" spans="1:6" ht="13.5">
      <c r="A942" s="86"/>
      <c r="B942" s="91"/>
      <c r="C942" s="92"/>
      <c r="D942" s="82"/>
      <c r="E942" s="82"/>
      <c r="F942" s="96"/>
    </row>
    <row r="943" spans="1:6" ht="13.5">
      <c r="A943" s="86"/>
      <c r="B943" s="91"/>
      <c r="C943" s="92"/>
      <c r="D943" s="82"/>
      <c r="E943" s="82"/>
      <c r="F943" s="96"/>
    </row>
    <row r="944" spans="1:6" ht="13.5">
      <c r="A944" s="86"/>
      <c r="B944" s="91"/>
      <c r="C944" s="92"/>
      <c r="D944" s="82"/>
      <c r="E944" s="82"/>
      <c r="F944" s="96"/>
    </row>
    <row r="945" spans="1:6" ht="13.5">
      <c r="A945" s="86"/>
      <c r="B945" s="91"/>
      <c r="C945" s="92"/>
      <c r="D945" s="82"/>
      <c r="E945" s="82"/>
      <c r="F945" s="96"/>
    </row>
    <row r="946" spans="1:6" ht="13.5">
      <c r="A946" s="86"/>
      <c r="B946" s="91"/>
      <c r="C946" s="92"/>
      <c r="D946" s="82"/>
      <c r="E946" s="82"/>
      <c r="F946" s="96"/>
    </row>
    <row r="947" spans="1:6" ht="13.5">
      <c r="A947" s="86"/>
      <c r="B947" s="91"/>
      <c r="C947" s="92"/>
      <c r="D947" s="82"/>
      <c r="E947" s="82"/>
      <c r="F947" s="96"/>
    </row>
    <row r="948" spans="1:6" ht="13.5">
      <c r="A948" s="86"/>
      <c r="B948" s="91"/>
      <c r="C948" s="92"/>
      <c r="D948" s="82"/>
      <c r="E948" s="82"/>
      <c r="F948" s="96"/>
    </row>
    <row r="949" spans="1:6" ht="13.5">
      <c r="A949" s="86"/>
      <c r="B949" s="91"/>
      <c r="C949" s="92"/>
      <c r="D949" s="82"/>
      <c r="E949" s="82"/>
      <c r="F949" s="96"/>
    </row>
    <row r="950" spans="1:6" ht="13.5">
      <c r="A950" s="86"/>
      <c r="B950" s="91"/>
      <c r="C950" s="92"/>
      <c r="D950" s="82"/>
      <c r="E950" s="82"/>
      <c r="F950" s="96"/>
    </row>
    <row r="951" spans="1:6" ht="13.5">
      <c r="A951" s="86"/>
      <c r="B951" s="91"/>
      <c r="C951" s="92"/>
      <c r="D951" s="82"/>
      <c r="E951" s="82"/>
      <c r="F951" s="96"/>
    </row>
    <row r="952" spans="1:6" ht="13.5">
      <c r="A952" s="86"/>
      <c r="B952" s="91"/>
      <c r="C952" s="92"/>
      <c r="D952" s="82"/>
      <c r="E952" s="82"/>
      <c r="F952" s="96"/>
    </row>
    <row r="953" spans="1:6" ht="13.5">
      <c r="A953" s="86"/>
      <c r="B953" s="91"/>
      <c r="C953" s="92"/>
      <c r="D953" s="82"/>
      <c r="E953" s="82"/>
      <c r="F953" s="96"/>
    </row>
    <row r="954" spans="1:6" ht="13.5">
      <c r="A954" s="86"/>
      <c r="B954" s="91"/>
      <c r="C954" s="92"/>
      <c r="D954" s="82"/>
      <c r="E954" s="82"/>
      <c r="F954" s="96"/>
    </row>
    <row r="955" spans="1:6" ht="13.5">
      <c r="A955" s="86"/>
      <c r="B955" s="91"/>
      <c r="C955" s="92"/>
      <c r="D955" s="82"/>
      <c r="E955" s="82"/>
      <c r="F955" s="96"/>
    </row>
    <row r="956" spans="1:6" ht="13.5">
      <c r="A956" s="86"/>
      <c r="B956" s="91"/>
      <c r="C956" s="92"/>
      <c r="D956" s="82"/>
      <c r="E956" s="82"/>
      <c r="F956" s="96"/>
    </row>
    <row r="957" spans="1:6" ht="13.5">
      <c r="A957" s="86"/>
      <c r="B957" s="91"/>
      <c r="C957" s="92"/>
      <c r="D957" s="82"/>
      <c r="E957" s="82"/>
      <c r="F957" s="96"/>
    </row>
    <row r="958" spans="1:6" ht="13.5">
      <c r="A958" s="86"/>
      <c r="B958" s="91"/>
      <c r="C958" s="92"/>
      <c r="D958" s="82"/>
      <c r="E958" s="82"/>
      <c r="F958" s="96"/>
    </row>
    <row r="959" spans="1:6" ht="13.5">
      <c r="A959" s="86"/>
      <c r="B959" s="91"/>
      <c r="C959" s="92"/>
      <c r="D959" s="82"/>
      <c r="E959" s="82"/>
      <c r="F959" s="96"/>
    </row>
    <row r="960" spans="1:6" ht="13.5">
      <c r="A960" s="86"/>
      <c r="B960" s="91"/>
      <c r="C960" s="92"/>
      <c r="D960" s="82"/>
      <c r="E960" s="82"/>
      <c r="F960" s="96"/>
    </row>
    <row r="961" spans="1:6" ht="13.5">
      <c r="A961" s="86"/>
      <c r="B961" s="91"/>
      <c r="C961" s="92"/>
      <c r="D961" s="82"/>
      <c r="E961" s="82"/>
      <c r="F961" s="96"/>
    </row>
    <row r="962" spans="1:6" ht="13.5">
      <c r="A962" s="86"/>
      <c r="B962" s="91"/>
      <c r="C962" s="92"/>
      <c r="D962" s="82"/>
      <c r="E962" s="82"/>
      <c r="F962" s="96"/>
    </row>
    <row r="963" spans="1:6" ht="13.5">
      <c r="A963" s="86"/>
      <c r="B963" s="91"/>
      <c r="C963" s="92"/>
      <c r="D963" s="82"/>
      <c r="E963" s="82"/>
      <c r="F963" s="96"/>
    </row>
    <row r="964" spans="1:6" ht="13.5">
      <c r="A964" s="86"/>
      <c r="B964" s="91"/>
      <c r="C964" s="92"/>
      <c r="D964" s="82"/>
      <c r="E964" s="82"/>
      <c r="F964" s="96"/>
    </row>
    <row r="965" spans="1:6" ht="13.5">
      <c r="A965" s="86"/>
      <c r="B965" s="91"/>
      <c r="C965" s="92"/>
      <c r="D965" s="82"/>
      <c r="E965" s="82"/>
      <c r="F965" s="96"/>
    </row>
    <row r="966" spans="1:6" ht="13.5">
      <c r="A966" s="86"/>
      <c r="B966" s="91"/>
      <c r="C966" s="92"/>
      <c r="D966" s="82"/>
      <c r="E966" s="82"/>
      <c r="F966" s="96"/>
    </row>
    <row r="967" spans="1:6" ht="13.5">
      <c r="A967" s="86"/>
      <c r="B967" s="91"/>
      <c r="C967" s="92"/>
      <c r="D967" s="82"/>
      <c r="E967" s="82"/>
      <c r="F967" s="96"/>
    </row>
    <row r="968" spans="1:6" ht="13.5">
      <c r="A968" s="86"/>
      <c r="B968" s="91"/>
      <c r="C968" s="92"/>
      <c r="D968" s="82"/>
      <c r="E968" s="82"/>
      <c r="F968" s="96"/>
    </row>
    <row r="969" spans="1:6" ht="13.5">
      <c r="A969" s="86"/>
      <c r="B969" s="91"/>
      <c r="C969" s="92"/>
      <c r="D969" s="82"/>
      <c r="E969" s="82"/>
      <c r="F969" s="96"/>
    </row>
    <row r="970" spans="1:6" ht="13.5">
      <c r="A970" s="86"/>
      <c r="B970" s="91"/>
      <c r="C970" s="92"/>
      <c r="D970" s="82"/>
      <c r="E970" s="82"/>
      <c r="F970" s="96"/>
    </row>
    <row r="971" spans="1:6" ht="13.5">
      <c r="A971" s="86"/>
      <c r="B971" s="91"/>
      <c r="C971" s="92"/>
      <c r="D971" s="82"/>
      <c r="E971" s="82"/>
      <c r="F971" s="96"/>
    </row>
    <row r="972" spans="1:6" ht="13.5">
      <c r="A972" s="86"/>
      <c r="B972" s="91"/>
      <c r="C972" s="92"/>
      <c r="D972" s="82"/>
      <c r="E972" s="82"/>
      <c r="F972" s="96"/>
    </row>
    <row r="973" spans="1:6" ht="13.5">
      <c r="A973" s="86"/>
      <c r="B973" s="91"/>
      <c r="C973" s="92"/>
      <c r="D973" s="82"/>
      <c r="E973" s="82"/>
      <c r="F973" s="96"/>
    </row>
    <row r="974" spans="1:6" ht="13.5">
      <c r="A974" s="86"/>
      <c r="B974" s="91"/>
      <c r="C974" s="92"/>
      <c r="D974" s="82"/>
      <c r="E974" s="82"/>
      <c r="F974" s="96"/>
    </row>
    <row r="975" spans="1:6" ht="13.5">
      <c r="A975" s="86"/>
      <c r="B975" s="91"/>
      <c r="C975" s="92"/>
      <c r="D975" s="82"/>
      <c r="E975" s="82"/>
      <c r="F975" s="96"/>
    </row>
    <row r="976" spans="1:6" ht="13.5">
      <c r="A976" s="86"/>
      <c r="B976" s="91"/>
      <c r="C976" s="92"/>
      <c r="D976" s="82"/>
      <c r="E976" s="82"/>
      <c r="F976" s="96"/>
    </row>
    <row r="977" spans="1:6" ht="13.5">
      <c r="A977" s="86"/>
      <c r="B977" s="91"/>
      <c r="C977" s="92"/>
      <c r="D977" s="82"/>
      <c r="E977" s="82"/>
      <c r="F977" s="96"/>
    </row>
    <row r="978" spans="1:6" ht="13.5">
      <c r="A978" s="86"/>
      <c r="B978" s="91"/>
      <c r="C978" s="92"/>
      <c r="D978" s="82"/>
      <c r="E978" s="82"/>
      <c r="F978" s="96"/>
    </row>
    <row r="979" spans="1:6" ht="13.5">
      <c r="A979" s="86"/>
      <c r="B979" s="91"/>
      <c r="C979" s="92"/>
      <c r="D979" s="82"/>
      <c r="E979" s="82"/>
      <c r="F979" s="96"/>
    </row>
    <row r="980" spans="1:6" ht="13.5">
      <c r="A980" s="86"/>
      <c r="B980" s="91"/>
      <c r="C980" s="92"/>
      <c r="D980" s="82"/>
      <c r="E980" s="82"/>
      <c r="F980" s="96"/>
    </row>
    <row r="981" spans="1:6" ht="13.5">
      <c r="A981" s="86"/>
      <c r="B981" s="91"/>
      <c r="C981" s="92"/>
      <c r="D981" s="82"/>
      <c r="E981" s="82"/>
      <c r="F981" s="96"/>
    </row>
    <row r="982" spans="1:6" ht="13.5">
      <c r="A982" s="86"/>
      <c r="B982" s="91"/>
      <c r="C982" s="92"/>
      <c r="D982" s="82"/>
      <c r="E982" s="82"/>
      <c r="F982" s="96"/>
    </row>
    <row r="983" spans="1:6" ht="13.5">
      <c r="A983" s="86"/>
      <c r="B983" s="91"/>
      <c r="C983" s="92"/>
      <c r="D983" s="82"/>
      <c r="E983" s="82"/>
      <c r="F983" s="96"/>
    </row>
    <row r="984" spans="1:6" ht="13.5">
      <c r="A984" s="86"/>
      <c r="B984" s="91"/>
      <c r="C984" s="92"/>
      <c r="D984" s="82"/>
      <c r="E984" s="82"/>
      <c r="F984" s="96"/>
    </row>
    <row r="985" spans="1:6" ht="13.5">
      <c r="A985" s="86"/>
      <c r="B985" s="91"/>
      <c r="C985" s="92"/>
      <c r="D985" s="82"/>
      <c r="E985" s="82"/>
      <c r="F985" s="96"/>
    </row>
    <row r="986" spans="1:6" ht="13.5">
      <c r="A986" s="86"/>
      <c r="B986" s="91"/>
      <c r="C986" s="92"/>
      <c r="D986" s="82"/>
      <c r="E986" s="82"/>
      <c r="F986" s="96"/>
    </row>
    <row r="987" spans="1:6" ht="13.5">
      <c r="A987" s="86"/>
      <c r="B987" s="91"/>
      <c r="C987" s="92"/>
      <c r="D987" s="82"/>
      <c r="E987" s="82"/>
      <c r="F987" s="96"/>
    </row>
    <row r="988" spans="1:6" ht="13.5">
      <c r="A988" s="86"/>
      <c r="B988" s="91"/>
      <c r="C988" s="92"/>
      <c r="D988" s="82"/>
      <c r="E988" s="82"/>
      <c r="F988" s="96"/>
    </row>
    <row r="989" spans="1:6" ht="13.5">
      <c r="A989" s="86"/>
      <c r="B989" s="91"/>
      <c r="C989" s="92"/>
      <c r="D989" s="82"/>
      <c r="E989" s="82"/>
      <c r="F989" s="96"/>
    </row>
    <row r="990" spans="1:6" ht="13.5">
      <c r="A990" s="86"/>
      <c r="B990" s="91"/>
      <c r="C990" s="92"/>
      <c r="D990" s="82"/>
      <c r="E990" s="82"/>
      <c r="F990" s="96"/>
    </row>
    <row r="991" spans="1:6" ht="13.5">
      <c r="A991" s="86"/>
      <c r="B991" s="91"/>
      <c r="C991" s="92"/>
      <c r="D991" s="82"/>
      <c r="E991" s="82"/>
      <c r="F991" s="96"/>
    </row>
    <row r="992" spans="1:6" ht="13.5">
      <c r="A992" s="86"/>
      <c r="B992" s="91"/>
      <c r="C992" s="92"/>
      <c r="D992" s="82"/>
      <c r="E992" s="82"/>
      <c r="F992" s="96"/>
    </row>
    <row r="993" spans="1:6" ht="13.5">
      <c r="A993" s="86"/>
      <c r="B993" s="91"/>
      <c r="C993" s="92"/>
      <c r="D993" s="82"/>
      <c r="E993" s="82"/>
      <c r="F993" s="96"/>
    </row>
    <row r="994" spans="1:6" ht="13.5">
      <c r="A994" s="86"/>
      <c r="B994" s="91"/>
      <c r="C994" s="92"/>
      <c r="D994" s="82"/>
      <c r="E994" s="82"/>
      <c r="F994" s="96"/>
    </row>
    <row r="995" spans="1:6" ht="13.5">
      <c r="A995" s="86"/>
      <c r="B995" s="91"/>
      <c r="C995" s="92"/>
      <c r="D995" s="82"/>
      <c r="E995" s="82"/>
      <c r="F995" s="96"/>
    </row>
    <row r="996" spans="1:6" ht="13.5">
      <c r="A996" s="86"/>
      <c r="B996" s="91"/>
      <c r="C996" s="92"/>
      <c r="D996" s="82"/>
      <c r="E996" s="82"/>
      <c r="F996" s="96"/>
    </row>
    <row r="997" spans="1:6" ht="13.5">
      <c r="A997" s="86"/>
      <c r="B997" s="91"/>
      <c r="C997" s="92"/>
      <c r="D997" s="82"/>
      <c r="E997" s="82"/>
      <c r="F997" s="96"/>
    </row>
    <row r="998" spans="1:6" ht="13.5">
      <c r="A998" s="86"/>
      <c r="B998" s="91"/>
      <c r="C998" s="92"/>
      <c r="D998" s="82"/>
      <c r="E998" s="82"/>
      <c r="F998" s="96"/>
    </row>
    <row r="999" spans="1:6" ht="13.5">
      <c r="A999" s="86"/>
      <c r="B999" s="91"/>
      <c r="C999" s="92"/>
      <c r="D999" s="82"/>
      <c r="E999" s="82"/>
      <c r="F999" s="96"/>
    </row>
    <row r="1000" spans="1:6" ht="13.5">
      <c r="A1000" s="86"/>
      <c r="B1000" s="91"/>
      <c r="C1000" s="92"/>
      <c r="D1000" s="82"/>
      <c r="E1000" s="82"/>
      <c r="F1000" s="96"/>
    </row>
    <row r="1001" spans="1:6" ht="13.5">
      <c r="A1001" s="86"/>
      <c r="B1001" s="91"/>
      <c r="C1001" s="92"/>
      <c r="D1001" s="82"/>
      <c r="E1001" s="82"/>
      <c r="F1001" s="96"/>
    </row>
    <row r="1002" spans="1:6" ht="13.5">
      <c r="A1002" s="86"/>
      <c r="B1002" s="91"/>
      <c r="C1002" s="92"/>
      <c r="D1002" s="82"/>
      <c r="E1002" s="82"/>
      <c r="F1002" s="96"/>
    </row>
    <row r="1003" spans="1:6" ht="13.5">
      <c r="A1003" s="86"/>
      <c r="B1003" s="91"/>
      <c r="C1003" s="92"/>
      <c r="D1003" s="82"/>
      <c r="E1003" s="82"/>
      <c r="F1003" s="96"/>
    </row>
    <row r="1004" spans="1:6" ht="13.5">
      <c r="A1004" s="86"/>
      <c r="B1004" s="91"/>
      <c r="C1004" s="92"/>
      <c r="D1004" s="82"/>
      <c r="E1004" s="82"/>
      <c r="F1004" s="96"/>
    </row>
    <row r="1005" spans="1:6" ht="13.5">
      <c r="A1005" s="86"/>
      <c r="B1005" s="91"/>
      <c r="C1005" s="92"/>
      <c r="D1005" s="82"/>
      <c r="E1005" s="82"/>
      <c r="F1005" s="96"/>
    </row>
    <row r="1006" spans="1:6" ht="13.5">
      <c r="A1006" s="86"/>
      <c r="B1006" s="91"/>
      <c r="C1006" s="92"/>
      <c r="D1006" s="82"/>
      <c r="E1006" s="82"/>
      <c r="F1006" s="96"/>
    </row>
    <row r="1007" spans="1:6" ht="13.5">
      <c r="A1007" s="86"/>
      <c r="B1007" s="91"/>
      <c r="C1007" s="92"/>
      <c r="D1007" s="82"/>
      <c r="E1007" s="82"/>
      <c r="F1007" s="96"/>
    </row>
    <row r="1008" spans="1:6" ht="13.5">
      <c r="A1008" s="86"/>
      <c r="B1008" s="91"/>
      <c r="C1008" s="92"/>
      <c r="D1008" s="82"/>
      <c r="E1008" s="82"/>
      <c r="F1008" s="96"/>
    </row>
    <row r="1009" spans="1:6" ht="13.5">
      <c r="A1009" s="86"/>
      <c r="B1009" s="91"/>
      <c r="C1009" s="92"/>
      <c r="D1009" s="82"/>
      <c r="E1009" s="82"/>
      <c r="F1009" s="96"/>
    </row>
    <row r="1010" spans="1:6" ht="13.5">
      <c r="A1010" s="86"/>
      <c r="B1010" s="91"/>
      <c r="C1010" s="92"/>
      <c r="D1010" s="82"/>
      <c r="E1010" s="82"/>
      <c r="F1010" s="96"/>
    </row>
    <row r="1011" spans="1:6" ht="13.5">
      <c r="A1011" s="86"/>
      <c r="B1011" s="91"/>
      <c r="C1011" s="92"/>
      <c r="D1011" s="82"/>
      <c r="E1011" s="82"/>
      <c r="F1011" s="96"/>
    </row>
    <row r="1012" spans="1:6" ht="13.5">
      <c r="A1012" s="86"/>
      <c r="B1012" s="91"/>
      <c r="C1012" s="92"/>
      <c r="D1012" s="82"/>
      <c r="E1012" s="82"/>
      <c r="F1012" s="96"/>
    </row>
    <row r="1013" spans="1:6" ht="13.5">
      <c r="A1013" s="86"/>
      <c r="B1013" s="91"/>
      <c r="C1013" s="92"/>
      <c r="D1013" s="82"/>
      <c r="E1013" s="82"/>
      <c r="F1013" s="96"/>
    </row>
    <row r="1014" spans="1:6" ht="13.5">
      <c r="A1014" s="86"/>
      <c r="B1014" s="91"/>
      <c r="C1014" s="92"/>
      <c r="D1014" s="82"/>
      <c r="E1014" s="82"/>
      <c r="F1014" s="96"/>
    </row>
    <row r="1015" spans="1:6" ht="13.5">
      <c r="A1015" s="86"/>
      <c r="B1015" s="91"/>
      <c r="C1015" s="92"/>
      <c r="D1015" s="82"/>
      <c r="E1015" s="82"/>
      <c r="F1015" s="96"/>
    </row>
    <row r="1016" spans="1:6" ht="13.5">
      <c r="A1016" s="86"/>
      <c r="B1016" s="91"/>
      <c r="C1016" s="92"/>
      <c r="D1016" s="82"/>
      <c r="E1016" s="82"/>
      <c r="F1016" s="96"/>
    </row>
    <row r="1017" spans="1:6" ht="13.5">
      <c r="A1017" s="86"/>
      <c r="B1017" s="91"/>
      <c r="C1017" s="92"/>
      <c r="D1017" s="82"/>
      <c r="E1017" s="82"/>
      <c r="F1017" s="96"/>
    </row>
    <row r="1018" spans="1:6" ht="13.5">
      <c r="A1018" s="86"/>
      <c r="B1018" s="91"/>
      <c r="C1018" s="92"/>
      <c r="D1018" s="82"/>
      <c r="E1018" s="82"/>
      <c r="F1018" s="96"/>
    </row>
    <row r="1019" spans="1:6" ht="13.5">
      <c r="A1019" s="86"/>
      <c r="B1019" s="91"/>
      <c r="C1019" s="92"/>
      <c r="D1019" s="82"/>
      <c r="E1019" s="82"/>
      <c r="F1019" s="96"/>
    </row>
    <row r="1020" spans="1:6" ht="13.5">
      <c r="A1020" s="86"/>
      <c r="B1020" s="91"/>
      <c r="C1020" s="92"/>
      <c r="D1020" s="82"/>
      <c r="E1020" s="82"/>
      <c r="F1020" s="96"/>
    </row>
    <row r="1021" spans="1:6" ht="13.5">
      <c r="A1021" s="86"/>
      <c r="B1021" s="91"/>
      <c r="C1021" s="92"/>
      <c r="D1021" s="82"/>
      <c r="E1021" s="82"/>
      <c r="F1021" s="96"/>
    </row>
    <row r="1022" spans="1:6" ht="13.5">
      <c r="A1022" s="86"/>
      <c r="B1022" s="91"/>
      <c r="C1022" s="92"/>
      <c r="D1022" s="82"/>
      <c r="E1022" s="82"/>
      <c r="F1022" s="96"/>
    </row>
    <row r="1023" spans="1:6" ht="13.5">
      <c r="A1023" s="86"/>
      <c r="B1023" s="91"/>
      <c r="C1023" s="92"/>
      <c r="D1023" s="82"/>
      <c r="E1023" s="82"/>
      <c r="F1023" s="96"/>
    </row>
    <row r="1024" spans="1:6" ht="13.5">
      <c r="A1024" s="86"/>
      <c r="B1024" s="91"/>
      <c r="C1024" s="92"/>
      <c r="D1024" s="82"/>
      <c r="E1024" s="82"/>
      <c r="F1024" s="96"/>
    </row>
    <row r="1025" spans="1:6" ht="13.5">
      <c r="A1025" s="86"/>
      <c r="B1025" s="91"/>
      <c r="C1025" s="92"/>
      <c r="D1025" s="82"/>
      <c r="E1025" s="82"/>
      <c r="F1025" s="96"/>
    </row>
    <row r="1026" spans="1:6" ht="13.5">
      <c r="A1026" s="86"/>
      <c r="B1026" s="91"/>
      <c r="C1026" s="92"/>
      <c r="D1026" s="82"/>
      <c r="E1026" s="82"/>
      <c r="F1026" s="96"/>
    </row>
    <row r="1027" spans="1:6" ht="13.5">
      <c r="A1027" s="86"/>
      <c r="B1027" s="91"/>
      <c r="C1027" s="92"/>
      <c r="D1027" s="82"/>
      <c r="E1027" s="82"/>
      <c r="F1027" s="96"/>
    </row>
    <row r="1028" spans="1:6" ht="13.5">
      <c r="A1028" s="86"/>
      <c r="B1028" s="91"/>
      <c r="C1028" s="92"/>
      <c r="D1028" s="82"/>
      <c r="E1028" s="82"/>
      <c r="F1028" s="96"/>
    </row>
    <row r="1029" spans="1:6" ht="13.5">
      <c r="A1029" s="86"/>
      <c r="B1029" s="91"/>
      <c r="C1029" s="92"/>
      <c r="D1029" s="82"/>
      <c r="E1029" s="82"/>
      <c r="F1029" s="96"/>
    </row>
    <row r="1030" spans="1:6" ht="13.5">
      <c r="A1030" s="86"/>
      <c r="B1030" s="91"/>
      <c r="C1030" s="92"/>
      <c r="D1030" s="82"/>
      <c r="E1030" s="82"/>
      <c r="F1030" s="96"/>
    </row>
    <row r="1031" spans="1:6" ht="13.5">
      <c r="A1031" s="86"/>
      <c r="B1031" s="91"/>
      <c r="C1031" s="92"/>
      <c r="D1031" s="82"/>
      <c r="E1031" s="82"/>
      <c r="F1031" s="96"/>
    </row>
    <row r="1032" spans="1:6" ht="13.5">
      <c r="A1032" s="86"/>
      <c r="B1032" s="91"/>
      <c r="C1032" s="92"/>
      <c r="D1032" s="82"/>
      <c r="E1032" s="82"/>
      <c r="F1032" s="96"/>
    </row>
    <row r="1033" spans="1:6" ht="13.5">
      <c r="A1033" s="86"/>
      <c r="B1033" s="91"/>
      <c r="C1033" s="92"/>
      <c r="D1033" s="82"/>
      <c r="E1033" s="82"/>
      <c r="F1033" s="96"/>
    </row>
    <row r="1034" spans="1:6" ht="13.5">
      <c r="A1034" s="86"/>
      <c r="B1034" s="91"/>
      <c r="C1034" s="92"/>
      <c r="D1034" s="82"/>
      <c r="E1034" s="82"/>
      <c r="F1034" s="96"/>
    </row>
    <row r="1035" spans="1:6" ht="13.5">
      <c r="A1035" s="86"/>
      <c r="B1035" s="91"/>
      <c r="C1035" s="92"/>
      <c r="D1035" s="82"/>
      <c r="E1035" s="82"/>
      <c r="F1035" s="96"/>
    </row>
    <row r="1036" spans="1:6" ht="13.5">
      <c r="A1036" s="86"/>
      <c r="B1036" s="91"/>
      <c r="C1036" s="92"/>
      <c r="D1036" s="82"/>
      <c r="E1036" s="82"/>
      <c r="F1036" s="96"/>
    </row>
    <row r="1037" spans="1:6" ht="13.5">
      <c r="A1037" s="86"/>
      <c r="B1037" s="91"/>
      <c r="C1037" s="92"/>
      <c r="D1037" s="82"/>
      <c r="E1037" s="82"/>
      <c r="F1037" s="96"/>
    </row>
    <row r="1038" spans="1:6" ht="13.5">
      <c r="A1038" s="86"/>
      <c r="B1038" s="91"/>
      <c r="C1038" s="92"/>
      <c r="D1038" s="82"/>
      <c r="E1038" s="82"/>
      <c r="F1038" s="96"/>
    </row>
    <row r="1039" spans="1:6" ht="13.5">
      <c r="A1039" s="86"/>
      <c r="B1039" s="91"/>
      <c r="C1039" s="92"/>
      <c r="D1039" s="82"/>
      <c r="E1039" s="82"/>
      <c r="F1039" s="96"/>
    </row>
    <row r="1040" spans="1:6" ht="13.5">
      <c r="A1040" s="86"/>
      <c r="B1040" s="91"/>
      <c r="C1040" s="92"/>
      <c r="D1040" s="82"/>
      <c r="E1040" s="82"/>
      <c r="F1040" s="96"/>
    </row>
    <row r="1041" spans="1:6" ht="13.5">
      <c r="A1041" s="86"/>
      <c r="B1041" s="91"/>
      <c r="C1041" s="92"/>
      <c r="D1041" s="82"/>
      <c r="E1041" s="82"/>
      <c r="F1041" s="96"/>
    </row>
    <row r="1042" spans="1:6" ht="13.5">
      <c r="A1042" s="86"/>
      <c r="B1042" s="91"/>
      <c r="C1042" s="92"/>
      <c r="D1042" s="82"/>
      <c r="E1042" s="82"/>
      <c r="F1042" s="96"/>
    </row>
    <row r="1043" spans="1:6" ht="13.5">
      <c r="A1043" s="86"/>
      <c r="B1043" s="91"/>
      <c r="C1043" s="92"/>
      <c r="D1043" s="82"/>
      <c r="E1043" s="82"/>
      <c r="F1043" s="96"/>
    </row>
    <row r="1044" spans="1:6" ht="13.5">
      <c r="A1044" s="86"/>
      <c r="B1044" s="91"/>
      <c r="C1044" s="92"/>
      <c r="D1044" s="82"/>
      <c r="E1044" s="82"/>
      <c r="F1044" s="96"/>
    </row>
    <row r="1045" spans="1:6" ht="13.5">
      <c r="A1045" s="86"/>
      <c r="B1045" s="91"/>
      <c r="C1045" s="92"/>
      <c r="D1045" s="82"/>
      <c r="E1045" s="82"/>
      <c r="F1045" s="96"/>
    </row>
    <row r="1046" spans="1:6" ht="13.5">
      <c r="A1046" s="86"/>
      <c r="B1046" s="91"/>
      <c r="C1046" s="92"/>
      <c r="D1046" s="82"/>
      <c r="E1046" s="82"/>
      <c r="F1046" s="96"/>
    </row>
    <row r="1047" spans="1:6" ht="13.5">
      <c r="A1047" s="86"/>
      <c r="B1047" s="91"/>
      <c r="C1047" s="92"/>
      <c r="D1047" s="82"/>
      <c r="E1047" s="82"/>
      <c r="F1047" s="96"/>
    </row>
    <row r="1048" spans="1:6" ht="13.5">
      <c r="A1048" s="86"/>
      <c r="B1048" s="91"/>
      <c r="C1048" s="92"/>
      <c r="D1048" s="82"/>
      <c r="E1048" s="82"/>
      <c r="F1048" s="96"/>
    </row>
    <row r="1049" spans="1:6" ht="13.5">
      <c r="A1049" s="86"/>
      <c r="B1049" s="91"/>
      <c r="C1049" s="92"/>
      <c r="D1049" s="82"/>
      <c r="E1049" s="82"/>
      <c r="F1049" s="96"/>
    </row>
    <row r="1050" spans="1:6" ht="13.5">
      <c r="A1050" s="86"/>
      <c r="B1050" s="91"/>
      <c r="C1050" s="92"/>
      <c r="D1050" s="82"/>
      <c r="E1050" s="82"/>
      <c r="F1050" s="96"/>
    </row>
    <row r="1051" spans="1:6" ht="13.5">
      <c r="A1051" s="86"/>
      <c r="B1051" s="91"/>
      <c r="C1051" s="92"/>
      <c r="D1051" s="82"/>
      <c r="E1051" s="82"/>
      <c r="F1051" s="96"/>
    </row>
    <row r="1052" spans="1:6" ht="13.5">
      <c r="A1052" s="86"/>
      <c r="B1052" s="91"/>
      <c r="C1052" s="92"/>
      <c r="D1052" s="82"/>
      <c r="E1052" s="82"/>
      <c r="F1052" s="96"/>
    </row>
    <row r="1053" spans="1:6" ht="13.5">
      <c r="A1053" s="86"/>
      <c r="B1053" s="91"/>
      <c r="C1053" s="92"/>
      <c r="D1053" s="82"/>
      <c r="E1053" s="82"/>
      <c r="F1053" s="96"/>
    </row>
    <row r="1054" spans="1:6" ht="13.5">
      <c r="A1054" s="86"/>
      <c r="B1054" s="91"/>
      <c r="C1054" s="92"/>
      <c r="D1054" s="82"/>
      <c r="E1054" s="82"/>
      <c r="F1054" s="96"/>
    </row>
    <row r="1055" spans="1:6" ht="13.5">
      <c r="A1055" s="86"/>
      <c r="B1055" s="91"/>
      <c r="C1055" s="92"/>
      <c r="D1055" s="82"/>
      <c r="E1055" s="82"/>
      <c r="F1055" s="96"/>
    </row>
    <row r="1056" spans="1:6" ht="13.5">
      <c r="A1056" s="86"/>
      <c r="B1056" s="91"/>
      <c r="C1056" s="92"/>
      <c r="D1056" s="82"/>
      <c r="E1056" s="82"/>
      <c r="F1056" s="96"/>
    </row>
    <row r="1057" spans="1:6" ht="13.5">
      <c r="A1057" s="86"/>
      <c r="B1057" s="91"/>
      <c r="C1057" s="92"/>
      <c r="D1057" s="82"/>
      <c r="E1057" s="82"/>
      <c r="F1057" s="96"/>
    </row>
    <row r="1058" spans="1:6" ht="13.5">
      <c r="A1058" s="86"/>
      <c r="B1058" s="91"/>
      <c r="C1058" s="92"/>
      <c r="D1058" s="82"/>
      <c r="E1058" s="82"/>
      <c r="F1058" s="96"/>
    </row>
    <row r="1059" spans="1:6" ht="13.5">
      <c r="A1059" s="86"/>
      <c r="B1059" s="91"/>
      <c r="C1059" s="92"/>
      <c r="D1059" s="82"/>
      <c r="E1059" s="82"/>
      <c r="F1059" s="96"/>
    </row>
    <row r="1060" spans="1:6" ht="13.5">
      <c r="A1060" s="86"/>
      <c r="B1060" s="91"/>
      <c r="C1060" s="92"/>
      <c r="D1060" s="82"/>
      <c r="E1060" s="82"/>
      <c r="F1060" s="96"/>
    </row>
    <row r="1061" spans="1:6" ht="13.5">
      <c r="A1061" s="86"/>
      <c r="B1061" s="91"/>
      <c r="C1061" s="92"/>
      <c r="D1061" s="82"/>
      <c r="E1061" s="82"/>
      <c r="F1061" s="96"/>
    </row>
    <row r="1062" spans="1:6" ht="13.5">
      <c r="A1062" s="86"/>
      <c r="B1062" s="91"/>
      <c r="C1062" s="92"/>
      <c r="D1062" s="82"/>
      <c r="E1062" s="82"/>
      <c r="F1062" s="96"/>
    </row>
    <row r="1063" spans="1:6" ht="13.5">
      <c r="A1063" s="86"/>
      <c r="B1063" s="91"/>
      <c r="C1063" s="92"/>
      <c r="D1063" s="82"/>
      <c r="E1063" s="82"/>
      <c r="F1063" s="96"/>
    </row>
    <row r="1064" spans="1:6" ht="13.5">
      <c r="A1064" s="86"/>
      <c r="B1064" s="91"/>
      <c r="C1064" s="92"/>
      <c r="D1064" s="82"/>
      <c r="E1064" s="82"/>
      <c r="F1064" s="96"/>
    </row>
    <row r="1065" spans="1:6" ht="13.5">
      <c r="A1065" s="86"/>
      <c r="B1065" s="91"/>
      <c r="C1065" s="92"/>
      <c r="D1065" s="82"/>
      <c r="E1065" s="82"/>
      <c r="F1065" s="96"/>
    </row>
    <row r="1066" spans="1:6" ht="13.5">
      <c r="A1066" s="86"/>
      <c r="B1066" s="91"/>
      <c r="C1066" s="92"/>
      <c r="D1066" s="82"/>
      <c r="E1066" s="82"/>
      <c r="F1066" s="96"/>
    </row>
    <row r="1067" spans="1:6" ht="13.5">
      <c r="A1067" s="86"/>
      <c r="B1067" s="91"/>
      <c r="C1067" s="92"/>
      <c r="D1067" s="82"/>
      <c r="E1067" s="82"/>
      <c r="F1067" s="96"/>
    </row>
    <row r="1068" spans="1:6" ht="13.5">
      <c r="A1068" s="86"/>
      <c r="B1068" s="91"/>
      <c r="C1068" s="92"/>
      <c r="D1068" s="82"/>
      <c r="E1068" s="82"/>
      <c r="F1068" s="96"/>
    </row>
    <row r="1069" spans="1:6" ht="13.5">
      <c r="A1069" s="86"/>
      <c r="B1069" s="91"/>
      <c r="C1069" s="92"/>
      <c r="D1069" s="82"/>
      <c r="E1069" s="82"/>
      <c r="F1069" s="96"/>
    </row>
    <row r="1070" spans="1:6" ht="13.5">
      <c r="A1070" s="86"/>
      <c r="B1070" s="91"/>
      <c r="C1070" s="92"/>
      <c r="D1070" s="82"/>
      <c r="E1070" s="82"/>
      <c r="F1070" s="96"/>
    </row>
    <row r="1071" spans="1:6" ht="13.5">
      <c r="A1071" s="86"/>
      <c r="B1071" s="91"/>
      <c r="C1071" s="92"/>
      <c r="D1071" s="82"/>
      <c r="E1071" s="82"/>
      <c r="F1071" s="96"/>
    </row>
    <row r="1072" spans="1:6" ht="13.5">
      <c r="A1072" s="86"/>
      <c r="B1072" s="91"/>
      <c r="C1072" s="92"/>
      <c r="D1072" s="82"/>
      <c r="E1072" s="82"/>
      <c r="F1072" s="96"/>
    </row>
    <row r="1073" spans="1:6" ht="13.5">
      <c r="A1073" s="86"/>
      <c r="B1073" s="91"/>
      <c r="C1073" s="92"/>
      <c r="D1073" s="82"/>
      <c r="E1073" s="82"/>
      <c r="F1073" s="96"/>
    </row>
    <row r="1074" spans="1:6" ht="13.5">
      <c r="A1074" s="86"/>
      <c r="B1074" s="91"/>
      <c r="C1074" s="92"/>
      <c r="D1074" s="82"/>
      <c r="E1074" s="82"/>
      <c r="F1074" s="96"/>
    </row>
    <row r="1075" spans="1:6" ht="13.5">
      <c r="A1075" s="86"/>
      <c r="B1075" s="91"/>
      <c r="C1075" s="92"/>
      <c r="D1075" s="82"/>
      <c r="E1075" s="82"/>
      <c r="F1075" s="96"/>
    </row>
    <row r="1076" spans="1:6" ht="13.5">
      <c r="A1076" s="86"/>
      <c r="B1076" s="91"/>
      <c r="C1076" s="92"/>
      <c r="D1076" s="82"/>
      <c r="E1076" s="82"/>
      <c r="F1076" s="96"/>
    </row>
    <row r="1077" spans="1:6" ht="13.5">
      <c r="A1077" s="86"/>
      <c r="B1077" s="91"/>
      <c r="C1077" s="92"/>
      <c r="D1077" s="82"/>
      <c r="E1077" s="82"/>
      <c r="F1077" s="96"/>
    </row>
    <row r="1078" spans="1:6" ht="13.5">
      <c r="A1078" s="86"/>
      <c r="B1078" s="91"/>
      <c r="C1078" s="92"/>
      <c r="D1078" s="82"/>
      <c r="E1078" s="82"/>
      <c r="F1078" s="96"/>
    </row>
    <row r="1079" spans="1:6" ht="13.5">
      <c r="A1079" s="86"/>
      <c r="B1079" s="91"/>
      <c r="C1079" s="92"/>
      <c r="D1079" s="82"/>
      <c r="E1079" s="82"/>
      <c r="F1079" s="96"/>
    </row>
    <row r="1080" spans="1:6" ht="13.5">
      <c r="A1080" s="86"/>
      <c r="B1080" s="91"/>
      <c r="C1080" s="92"/>
      <c r="D1080" s="82"/>
      <c r="E1080" s="82"/>
      <c r="F1080" s="96"/>
    </row>
    <row r="1081" spans="1:6" ht="13.5">
      <c r="A1081" s="86"/>
      <c r="B1081" s="91"/>
      <c r="C1081" s="92"/>
      <c r="D1081" s="82"/>
      <c r="E1081" s="82"/>
      <c r="F1081" s="96"/>
    </row>
    <row r="1082" spans="1:6" ht="13.5">
      <c r="A1082" s="86"/>
      <c r="B1082" s="91"/>
      <c r="C1082" s="92"/>
      <c r="D1082" s="82"/>
      <c r="E1082" s="82"/>
      <c r="F1082" s="96"/>
    </row>
    <row r="1083" spans="1:6" ht="13.5">
      <c r="A1083" s="86"/>
      <c r="B1083" s="91"/>
      <c r="C1083" s="92"/>
      <c r="D1083" s="82"/>
      <c r="E1083" s="82"/>
      <c r="F1083" s="96"/>
    </row>
    <row r="1084" spans="1:6" ht="13.5">
      <c r="A1084" s="86"/>
      <c r="B1084" s="91"/>
      <c r="C1084" s="92"/>
      <c r="D1084" s="82"/>
      <c r="E1084" s="82"/>
      <c r="F1084" s="96"/>
    </row>
    <row r="1085" spans="1:6" ht="13.5">
      <c r="A1085" s="86"/>
      <c r="B1085" s="91"/>
      <c r="C1085" s="92"/>
      <c r="D1085" s="82"/>
      <c r="E1085" s="82"/>
      <c r="F1085" s="96"/>
    </row>
    <row r="1086" spans="1:6" ht="13.5">
      <c r="A1086" s="86"/>
      <c r="B1086" s="91"/>
      <c r="C1086" s="92"/>
      <c r="D1086" s="82"/>
      <c r="E1086" s="82"/>
      <c r="F1086" s="96"/>
    </row>
    <row r="1087" spans="1:6" ht="13.5">
      <c r="A1087" s="86"/>
      <c r="B1087" s="91"/>
      <c r="C1087" s="92"/>
      <c r="D1087" s="82"/>
      <c r="E1087" s="82"/>
      <c r="F1087" s="96"/>
    </row>
    <row r="1088" spans="1:6" ht="13.5">
      <c r="A1088" s="86"/>
      <c r="B1088" s="91"/>
      <c r="C1088" s="92"/>
      <c r="D1088" s="82"/>
      <c r="E1088" s="82"/>
      <c r="F1088" s="96"/>
    </row>
    <row r="1089" spans="1:6" ht="13.5">
      <c r="A1089" s="86"/>
      <c r="B1089" s="91"/>
      <c r="C1089" s="92"/>
      <c r="D1089" s="82"/>
      <c r="E1089" s="82"/>
      <c r="F1089" s="96"/>
    </row>
    <row r="1090" spans="1:6" ht="13.5">
      <c r="A1090" s="86"/>
      <c r="B1090" s="91"/>
      <c r="C1090" s="92"/>
      <c r="D1090" s="82"/>
      <c r="E1090" s="82"/>
      <c r="F1090" s="96"/>
    </row>
    <row r="1091" spans="1:6" ht="13.5">
      <c r="A1091" s="86"/>
      <c r="B1091" s="91"/>
      <c r="C1091" s="92"/>
      <c r="D1091" s="82"/>
      <c r="E1091" s="82"/>
      <c r="F1091" s="96"/>
    </row>
    <row r="1092" spans="1:6" ht="13.5">
      <c r="A1092" s="86"/>
      <c r="B1092" s="91"/>
      <c r="C1092" s="92"/>
      <c r="D1092" s="82"/>
      <c r="E1092" s="82"/>
      <c r="F1092" s="96"/>
    </row>
    <row r="1093" spans="1:6" ht="13.5">
      <c r="A1093" s="86"/>
      <c r="B1093" s="91"/>
      <c r="C1093" s="92"/>
      <c r="D1093" s="82"/>
      <c r="E1093" s="82"/>
      <c r="F1093" s="96"/>
    </row>
    <row r="1094" spans="1:6" ht="13.5">
      <c r="A1094" s="86"/>
      <c r="B1094" s="91"/>
      <c r="C1094" s="92"/>
      <c r="D1094" s="82"/>
      <c r="E1094" s="82"/>
      <c r="F1094" s="96"/>
    </row>
    <row r="1095" spans="1:6" ht="13.5">
      <c r="A1095" s="86"/>
      <c r="B1095" s="91"/>
      <c r="C1095" s="92"/>
      <c r="D1095" s="82"/>
      <c r="E1095" s="82"/>
      <c r="F1095" s="96"/>
    </row>
    <row r="1096" spans="1:6" ht="13.5">
      <c r="A1096" s="86"/>
      <c r="B1096" s="91"/>
      <c r="C1096" s="92"/>
      <c r="D1096" s="82"/>
      <c r="E1096" s="82"/>
      <c r="F1096" s="96"/>
    </row>
    <row r="1097" spans="1:6" ht="13.5">
      <c r="A1097" s="86"/>
      <c r="B1097" s="91"/>
      <c r="C1097" s="92"/>
      <c r="D1097" s="82"/>
      <c r="E1097" s="82"/>
      <c r="F1097" s="96"/>
    </row>
    <row r="1098" spans="1:6" ht="13.5">
      <c r="A1098" s="86"/>
      <c r="B1098" s="91"/>
      <c r="C1098" s="92"/>
      <c r="D1098" s="82"/>
      <c r="E1098" s="82"/>
      <c r="F1098" s="96"/>
    </row>
    <row r="1099" spans="1:6" ht="13.5">
      <c r="A1099" s="86"/>
      <c r="B1099" s="91"/>
      <c r="C1099" s="92"/>
      <c r="D1099" s="82"/>
      <c r="E1099" s="82"/>
      <c r="F1099" s="96"/>
    </row>
    <row r="1100" spans="1:6" ht="13.5">
      <c r="A1100" s="86"/>
      <c r="B1100" s="91"/>
      <c r="C1100" s="92"/>
      <c r="D1100" s="82"/>
      <c r="E1100" s="82"/>
      <c r="F1100" s="96"/>
    </row>
    <row r="1101" spans="1:6" ht="13.5">
      <c r="A1101" s="86"/>
      <c r="B1101" s="91"/>
      <c r="C1101" s="92"/>
      <c r="D1101" s="82"/>
      <c r="E1101" s="82"/>
      <c r="F1101" s="96"/>
    </row>
    <row r="1102" spans="1:6" ht="13.5">
      <c r="A1102" s="86"/>
      <c r="B1102" s="91"/>
      <c r="C1102" s="92"/>
      <c r="D1102" s="82"/>
      <c r="E1102" s="82"/>
      <c r="F1102" s="96"/>
    </row>
    <row r="1103" spans="1:6" ht="13.5">
      <c r="A1103" s="86"/>
      <c r="B1103" s="91"/>
      <c r="C1103" s="92"/>
      <c r="D1103" s="82"/>
      <c r="E1103" s="82"/>
      <c r="F1103" s="96"/>
    </row>
    <row r="1104" spans="1:6" ht="13.5">
      <c r="A1104" s="86"/>
      <c r="B1104" s="91"/>
      <c r="C1104" s="92"/>
      <c r="D1104" s="82"/>
      <c r="E1104" s="82"/>
      <c r="F1104" s="96"/>
    </row>
    <row r="1105" spans="1:6" ht="13.5">
      <c r="A1105" s="86"/>
      <c r="B1105" s="91"/>
      <c r="C1105" s="92"/>
      <c r="D1105" s="82"/>
      <c r="E1105" s="82"/>
      <c r="F1105" s="96"/>
    </row>
    <row r="1106" spans="1:6" ht="13.5">
      <c r="A1106" s="86"/>
      <c r="B1106" s="91"/>
      <c r="C1106" s="92"/>
      <c r="D1106" s="82"/>
      <c r="E1106" s="82"/>
      <c r="F1106" s="96"/>
    </row>
    <row r="1107" spans="1:6" ht="13.5">
      <c r="A1107" s="86"/>
      <c r="B1107" s="91"/>
      <c r="C1107" s="92"/>
      <c r="D1107" s="82"/>
      <c r="E1107" s="82"/>
      <c r="F1107" s="96"/>
    </row>
    <row r="1108" spans="1:6" ht="13.5">
      <c r="A1108" s="86"/>
      <c r="B1108" s="91"/>
      <c r="C1108" s="92"/>
      <c r="D1108" s="82"/>
      <c r="E1108" s="82"/>
      <c r="F1108" s="96"/>
    </row>
    <row r="1109" spans="1:6" ht="13.5">
      <c r="A1109" s="86"/>
      <c r="B1109" s="91"/>
      <c r="C1109" s="92"/>
      <c r="D1109" s="82"/>
      <c r="E1109" s="82"/>
      <c r="F1109" s="96"/>
    </row>
    <row r="1110" spans="1:6" ht="13.5">
      <c r="A1110" s="86"/>
      <c r="B1110" s="91"/>
      <c r="C1110" s="92"/>
      <c r="D1110" s="82"/>
      <c r="E1110" s="82"/>
      <c r="F1110" s="96"/>
    </row>
    <row r="1111" spans="1:6" ht="13.5">
      <c r="A1111" s="86"/>
      <c r="B1111" s="91"/>
      <c r="C1111" s="92"/>
      <c r="D1111" s="82"/>
      <c r="E1111" s="82"/>
      <c r="F1111" s="96"/>
    </row>
    <row r="1112" spans="1:6" ht="13.5">
      <c r="A1112" s="86"/>
      <c r="B1112" s="91"/>
      <c r="C1112" s="92"/>
      <c r="D1112" s="82"/>
      <c r="E1112" s="82"/>
      <c r="F1112" s="96"/>
    </row>
    <row r="1113" spans="1:6" ht="13.5">
      <c r="A1113" s="86"/>
      <c r="B1113" s="91"/>
      <c r="C1113" s="92"/>
      <c r="D1113" s="82"/>
      <c r="E1113" s="82"/>
      <c r="F1113" s="96"/>
    </row>
    <row r="1114" spans="1:6" ht="13.5">
      <c r="A1114" s="86"/>
      <c r="B1114" s="91"/>
      <c r="C1114" s="92"/>
      <c r="D1114" s="82"/>
      <c r="E1114" s="82"/>
      <c r="F1114" s="96"/>
    </row>
    <row r="1115" spans="1:6" ht="13.5">
      <c r="A1115" s="86"/>
      <c r="B1115" s="91"/>
      <c r="C1115" s="92"/>
      <c r="D1115" s="82"/>
      <c r="E1115" s="82"/>
      <c r="F1115" s="96"/>
    </row>
    <row r="1116" spans="1:6" ht="13.5">
      <c r="A1116" s="86"/>
      <c r="B1116" s="91"/>
      <c r="C1116" s="92"/>
      <c r="D1116" s="82"/>
      <c r="E1116" s="82"/>
      <c r="F1116" s="96"/>
    </row>
    <row r="1117" spans="1:6" ht="13.5">
      <c r="A1117" s="86"/>
      <c r="B1117" s="91"/>
      <c r="C1117" s="92"/>
      <c r="D1117" s="82"/>
      <c r="E1117" s="82"/>
      <c r="F1117" s="96"/>
    </row>
    <row r="1118" spans="1:6" ht="13.5">
      <c r="A1118" s="86"/>
      <c r="B1118" s="91"/>
      <c r="C1118" s="92"/>
      <c r="D1118" s="82"/>
      <c r="E1118" s="82"/>
      <c r="F1118" s="96"/>
    </row>
    <row r="1119" spans="1:6" ht="13.5">
      <c r="A1119" s="86"/>
      <c r="B1119" s="91"/>
      <c r="C1119" s="92"/>
      <c r="D1119" s="82"/>
      <c r="E1119" s="82"/>
      <c r="F1119" s="96"/>
    </row>
    <row r="1120" spans="1:6" ht="13.5">
      <c r="A1120" s="86"/>
      <c r="B1120" s="91"/>
      <c r="C1120" s="92"/>
      <c r="D1120" s="82"/>
      <c r="E1120" s="82"/>
      <c r="F1120" s="96"/>
    </row>
    <row r="1121" spans="1:6" ht="13.5">
      <c r="A1121" s="86"/>
      <c r="B1121" s="91"/>
      <c r="C1121" s="92"/>
      <c r="D1121" s="82"/>
      <c r="E1121" s="82"/>
      <c r="F1121" s="96"/>
    </row>
    <row r="1122" spans="1:6" ht="13.5">
      <c r="A1122" s="86"/>
      <c r="B1122" s="91"/>
      <c r="C1122" s="92"/>
      <c r="D1122" s="82"/>
      <c r="E1122" s="82"/>
      <c r="F1122" s="96"/>
    </row>
    <row r="1123" spans="1:6" ht="13.5">
      <c r="A1123" s="86"/>
      <c r="B1123" s="91"/>
      <c r="C1123" s="92"/>
      <c r="D1123" s="82"/>
      <c r="E1123" s="82"/>
      <c r="F1123" s="96"/>
    </row>
    <row r="1124" spans="1:6" ht="13.5">
      <c r="A1124" s="86"/>
      <c r="B1124" s="91"/>
      <c r="C1124" s="92"/>
      <c r="D1124" s="82"/>
      <c r="E1124" s="82"/>
      <c r="F1124" s="96"/>
    </row>
    <row r="1125" spans="1:6" ht="13.5">
      <c r="A1125" s="86"/>
      <c r="B1125" s="91"/>
      <c r="C1125" s="92"/>
      <c r="D1125" s="82"/>
      <c r="E1125" s="82"/>
      <c r="F1125" s="96"/>
    </row>
    <row r="1126" spans="1:6" ht="13.5">
      <c r="A1126" s="86"/>
      <c r="B1126" s="91"/>
      <c r="C1126" s="92"/>
      <c r="D1126" s="82"/>
      <c r="E1126" s="82"/>
      <c r="F1126" s="96"/>
    </row>
    <row r="1127" spans="1:6" ht="13.5">
      <c r="A1127" s="86"/>
      <c r="B1127" s="91"/>
      <c r="C1127" s="92"/>
      <c r="D1127" s="82"/>
      <c r="E1127" s="82"/>
      <c r="F1127" s="96"/>
    </row>
    <row r="1128" spans="1:6" ht="13.5">
      <c r="A1128" s="86"/>
      <c r="B1128" s="91"/>
      <c r="C1128" s="92"/>
      <c r="D1128" s="82"/>
      <c r="E1128" s="82"/>
      <c r="F1128" s="96"/>
    </row>
    <row r="1129" spans="1:6" ht="13.5">
      <c r="A1129" s="86"/>
      <c r="B1129" s="91"/>
      <c r="C1129" s="92"/>
      <c r="D1129" s="82"/>
      <c r="E1129" s="82"/>
      <c r="F1129" s="96"/>
    </row>
    <row r="1130" spans="1:6" ht="13.5">
      <c r="A1130" s="86"/>
      <c r="B1130" s="91"/>
      <c r="C1130" s="92"/>
      <c r="D1130" s="82"/>
      <c r="E1130" s="82"/>
      <c r="F1130" s="96"/>
    </row>
    <row r="1131" spans="1:6" ht="13.5">
      <c r="A1131" s="86"/>
      <c r="B1131" s="91"/>
      <c r="C1131" s="92"/>
      <c r="D1131" s="82"/>
      <c r="E1131" s="82"/>
      <c r="F1131" s="96"/>
    </row>
    <row r="1132" spans="1:6" ht="13.5">
      <c r="A1132" s="86"/>
      <c r="B1132" s="91"/>
      <c r="C1132" s="92"/>
      <c r="D1132" s="82"/>
      <c r="E1132" s="82"/>
      <c r="F1132" s="96"/>
    </row>
    <row r="1133" spans="1:6" ht="13.5">
      <c r="A1133" s="86"/>
      <c r="B1133" s="91"/>
      <c r="C1133" s="92"/>
      <c r="D1133" s="82"/>
      <c r="E1133" s="82"/>
      <c r="F1133" s="96"/>
    </row>
    <row r="1134" spans="1:6" ht="13.5">
      <c r="A1134" s="86"/>
      <c r="B1134" s="91"/>
      <c r="C1134" s="92"/>
      <c r="D1134" s="82"/>
      <c r="E1134" s="82"/>
      <c r="F1134" s="96"/>
    </row>
    <row r="1135" spans="1:6" ht="13.5">
      <c r="A1135" s="86"/>
      <c r="B1135" s="91"/>
      <c r="C1135" s="92"/>
      <c r="D1135" s="82"/>
      <c r="E1135" s="82"/>
      <c r="F1135" s="96"/>
    </row>
    <row r="1136" spans="1:6" ht="13.5">
      <c r="A1136" s="86"/>
      <c r="B1136" s="91"/>
      <c r="C1136" s="92"/>
      <c r="D1136" s="82"/>
      <c r="E1136" s="82"/>
      <c r="F1136" s="96"/>
    </row>
    <row r="1137" spans="1:6" ht="13.5">
      <c r="A1137" s="86"/>
      <c r="B1137" s="91"/>
      <c r="C1137" s="92"/>
      <c r="D1137" s="82"/>
      <c r="E1137" s="82"/>
      <c r="F1137" s="96"/>
    </row>
    <row r="1138" spans="1:6" ht="13.5">
      <c r="A1138" s="86"/>
      <c r="B1138" s="91"/>
      <c r="C1138" s="92"/>
      <c r="D1138" s="82"/>
      <c r="E1138" s="82"/>
      <c r="F1138" s="96"/>
    </row>
    <row r="1139" spans="1:6" ht="13.5">
      <c r="A1139" s="86"/>
      <c r="B1139" s="91"/>
      <c r="C1139" s="92"/>
      <c r="D1139" s="82"/>
      <c r="E1139" s="82"/>
      <c r="F1139" s="96"/>
    </row>
    <row r="1140" spans="1:6" ht="13.5">
      <c r="A1140" s="86"/>
      <c r="B1140" s="91"/>
      <c r="C1140" s="92"/>
      <c r="D1140" s="82"/>
      <c r="E1140" s="82"/>
      <c r="F1140" s="96"/>
    </row>
    <row r="1141" spans="1:6" ht="13.5">
      <c r="A1141" s="86"/>
      <c r="B1141" s="91"/>
      <c r="C1141" s="92"/>
      <c r="D1141" s="82"/>
      <c r="E1141" s="82"/>
      <c r="F1141" s="96"/>
    </row>
    <row r="1142" spans="1:6" ht="13.5">
      <c r="A1142" s="86"/>
      <c r="B1142" s="91"/>
      <c r="C1142" s="92"/>
      <c r="D1142" s="82"/>
      <c r="E1142" s="82"/>
      <c r="F1142" s="96"/>
    </row>
    <row r="1143" spans="1:6" ht="13.5">
      <c r="A1143" s="86"/>
      <c r="B1143" s="91"/>
      <c r="C1143" s="92"/>
      <c r="D1143" s="82"/>
      <c r="E1143" s="82"/>
      <c r="F1143" s="96"/>
    </row>
    <row r="1144" spans="1:6" ht="13.5">
      <c r="A1144" s="86"/>
      <c r="B1144" s="91"/>
      <c r="C1144" s="92"/>
      <c r="D1144" s="82"/>
      <c r="E1144" s="82"/>
      <c r="F1144" s="96"/>
    </row>
    <row r="1145" spans="1:6" ht="13.5">
      <c r="A1145" s="86"/>
      <c r="B1145" s="91"/>
      <c r="C1145" s="92"/>
      <c r="D1145" s="82"/>
      <c r="E1145" s="82"/>
      <c r="F1145" s="96"/>
    </row>
    <row r="1146" spans="1:6" ht="13.5">
      <c r="A1146" s="86"/>
      <c r="B1146" s="91"/>
      <c r="C1146" s="92"/>
      <c r="D1146" s="82"/>
      <c r="E1146" s="82"/>
      <c r="F1146" s="96"/>
    </row>
    <row r="1147" spans="1:6" ht="13.5">
      <c r="A1147" s="86"/>
      <c r="B1147" s="91"/>
      <c r="C1147" s="92"/>
      <c r="D1147" s="82"/>
      <c r="E1147" s="82"/>
      <c r="F1147" s="96"/>
    </row>
    <row r="1148" spans="1:6" ht="13.5">
      <c r="A1148" s="86"/>
      <c r="B1148" s="91"/>
      <c r="C1148" s="92"/>
      <c r="D1148" s="82"/>
      <c r="E1148" s="82"/>
      <c r="F1148" s="96"/>
    </row>
    <row r="1149" spans="1:6" ht="13.5">
      <c r="A1149" s="86"/>
      <c r="B1149" s="91"/>
      <c r="C1149" s="92"/>
      <c r="D1149" s="82"/>
      <c r="E1149" s="82"/>
      <c r="F1149" s="96"/>
    </row>
    <row r="1150" spans="1:6" ht="13.5">
      <c r="A1150" s="86"/>
      <c r="B1150" s="91"/>
      <c r="C1150" s="92"/>
      <c r="D1150" s="82"/>
      <c r="E1150" s="82"/>
      <c r="F1150" s="96"/>
    </row>
    <row r="1151" spans="1:6" ht="13.5">
      <c r="A1151" s="86"/>
      <c r="B1151" s="91"/>
      <c r="C1151" s="92"/>
      <c r="D1151" s="82"/>
      <c r="E1151" s="82"/>
      <c r="F1151" s="96"/>
    </row>
    <row r="1152" spans="1:6" ht="13.5">
      <c r="A1152" s="86"/>
      <c r="B1152" s="91"/>
      <c r="C1152" s="92"/>
      <c r="D1152" s="82"/>
      <c r="E1152" s="82"/>
      <c r="F1152" s="96"/>
    </row>
    <row r="1153" spans="1:6" ht="13.5">
      <c r="A1153" s="86"/>
      <c r="B1153" s="91"/>
      <c r="C1153" s="92"/>
      <c r="D1153" s="82"/>
      <c r="E1153" s="82"/>
      <c r="F1153" s="96"/>
    </row>
    <row r="1154" spans="1:6" ht="13.5">
      <c r="A1154" s="86"/>
      <c r="B1154" s="91"/>
      <c r="C1154" s="92"/>
      <c r="D1154" s="82"/>
      <c r="E1154" s="82"/>
      <c r="F1154" s="96"/>
    </row>
    <row r="1155" spans="1:6" ht="13.5">
      <c r="A1155" s="86"/>
      <c r="B1155" s="91"/>
      <c r="C1155" s="92"/>
      <c r="D1155" s="82"/>
      <c r="E1155" s="82"/>
      <c r="F1155" s="96"/>
    </row>
    <row r="1156" spans="1:6" ht="13.5">
      <c r="A1156" s="86"/>
      <c r="B1156" s="91"/>
      <c r="C1156" s="92"/>
      <c r="D1156" s="82"/>
      <c r="E1156" s="82"/>
      <c r="F1156" s="96"/>
    </row>
    <row r="1157" spans="1:6" ht="13.5">
      <c r="A1157" s="86"/>
      <c r="B1157" s="91"/>
      <c r="C1157" s="92"/>
      <c r="D1157" s="82"/>
      <c r="E1157" s="82"/>
      <c r="F1157" s="96"/>
    </row>
    <row r="1158" spans="1:6" ht="13.5">
      <c r="A1158" s="86"/>
      <c r="B1158" s="91"/>
      <c r="C1158" s="92"/>
      <c r="D1158" s="82"/>
      <c r="E1158" s="82"/>
      <c r="F1158" s="96"/>
    </row>
    <row r="1159" spans="1:6" ht="13.5">
      <c r="A1159" s="86"/>
      <c r="B1159" s="91"/>
      <c r="C1159" s="92"/>
      <c r="D1159" s="82"/>
      <c r="E1159" s="82"/>
      <c r="F1159" s="96"/>
    </row>
    <row r="1160" spans="1:6" ht="13.5">
      <c r="A1160" s="86"/>
      <c r="B1160" s="91"/>
      <c r="C1160" s="92"/>
      <c r="D1160" s="82"/>
      <c r="E1160" s="82"/>
      <c r="F1160" s="96"/>
    </row>
    <row r="1161" spans="1:6" ht="13.5">
      <c r="A1161" s="86"/>
      <c r="B1161" s="91"/>
      <c r="C1161" s="92"/>
      <c r="D1161" s="82"/>
      <c r="E1161" s="82"/>
      <c r="F1161" s="96"/>
    </row>
    <row r="1162" spans="1:6" ht="13.5">
      <c r="A1162" s="86"/>
      <c r="B1162" s="91"/>
      <c r="C1162" s="92"/>
      <c r="D1162" s="82"/>
      <c r="E1162" s="82"/>
      <c r="F1162" s="96"/>
    </row>
    <row r="1163" spans="1:6" ht="13.5">
      <c r="A1163" s="86"/>
      <c r="B1163" s="91"/>
      <c r="C1163" s="92"/>
      <c r="D1163" s="82"/>
      <c r="E1163" s="82"/>
      <c r="F1163" s="96"/>
    </row>
    <row r="1164" spans="1:6" ht="13.5">
      <c r="A1164" s="86"/>
      <c r="B1164" s="91"/>
      <c r="C1164" s="92"/>
      <c r="D1164" s="82"/>
      <c r="E1164" s="82"/>
      <c r="F1164" s="96"/>
    </row>
    <row r="1165" spans="1:6" ht="13.5">
      <c r="A1165" s="86"/>
      <c r="B1165" s="91"/>
      <c r="C1165" s="92"/>
      <c r="D1165" s="82"/>
      <c r="E1165" s="82"/>
      <c r="F1165" s="96"/>
    </row>
    <row r="1166" spans="1:6" ht="13.5">
      <c r="A1166" s="86"/>
      <c r="B1166" s="91"/>
      <c r="C1166" s="92"/>
      <c r="D1166" s="82"/>
      <c r="E1166" s="82"/>
      <c r="F1166" s="96"/>
    </row>
    <row r="1167" spans="1:6" ht="13.5">
      <c r="A1167" s="86"/>
      <c r="B1167" s="91"/>
      <c r="C1167" s="92"/>
      <c r="D1167" s="82"/>
      <c r="E1167" s="82"/>
      <c r="F1167" s="96"/>
    </row>
    <row r="1168" spans="1:6" ht="13.5">
      <c r="A1168" s="86"/>
      <c r="B1168" s="91"/>
      <c r="C1168" s="92"/>
      <c r="D1168" s="82"/>
      <c r="E1168" s="82"/>
      <c r="F1168" s="96"/>
    </row>
    <row r="1169" spans="1:6" ht="13.5">
      <c r="A1169" s="86"/>
      <c r="B1169" s="91"/>
      <c r="C1169" s="92"/>
      <c r="D1169" s="82"/>
      <c r="E1169" s="82"/>
      <c r="F1169" s="96"/>
    </row>
    <row r="1170" spans="1:6" ht="13.5">
      <c r="A1170" s="86"/>
      <c r="B1170" s="91"/>
      <c r="C1170" s="92"/>
      <c r="D1170" s="82"/>
      <c r="E1170" s="82"/>
      <c r="F1170" s="96"/>
    </row>
    <row r="1171" spans="1:6" ht="13.5">
      <c r="A1171" s="86"/>
      <c r="B1171" s="91"/>
      <c r="C1171" s="92"/>
      <c r="D1171" s="82"/>
      <c r="E1171" s="82"/>
      <c r="F1171" s="96"/>
    </row>
    <row r="1172" spans="1:6" ht="13.5">
      <c r="A1172" s="86"/>
      <c r="B1172" s="91"/>
      <c r="C1172" s="92"/>
      <c r="D1172" s="82"/>
      <c r="E1172" s="82"/>
      <c r="F1172" s="96"/>
    </row>
    <row r="1173" spans="1:6" ht="13.5">
      <c r="A1173" s="86"/>
      <c r="B1173" s="91"/>
      <c r="C1173" s="92"/>
      <c r="D1173" s="82"/>
      <c r="E1173" s="82"/>
      <c r="F1173" s="96"/>
    </row>
    <row r="1174" spans="1:6" ht="13.5">
      <c r="A1174" s="86"/>
      <c r="B1174" s="91"/>
      <c r="C1174" s="92"/>
      <c r="D1174" s="82"/>
      <c r="E1174" s="82"/>
      <c r="F1174" s="96"/>
    </row>
    <row r="1175" spans="1:6" ht="13.5">
      <c r="A1175" s="86"/>
      <c r="B1175" s="91"/>
      <c r="C1175" s="92"/>
      <c r="D1175" s="82"/>
      <c r="E1175" s="82"/>
      <c r="F1175" s="96"/>
    </row>
    <row r="1176" spans="1:6" ht="13.5">
      <c r="A1176" s="86"/>
      <c r="B1176" s="91"/>
      <c r="C1176" s="92"/>
      <c r="D1176" s="82"/>
      <c r="E1176" s="82"/>
      <c r="F1176" s="96"/>
    </row>
    <row r="1177" spans="1:6" ht="13.5">
      <c r="A1177" s="86"/>
      <c r="B1177" s="91"/>
      <c r="C1177" s="92"/>
      <c r="D1177" s="82"/>
      <c r="E1177" s="82"/>
      <c r="F1177" s="96"/>
    </row>
    <row r="1178" spans="1:6" ht="13.5">
      <c r="A1178" s="86"/>
      <c r="B1178" s="91"/>
      <c r="C1178" s="92"/>
      <c r="D1178" s="82"/>
      <c r="E1178" s="82"/>
      <c r="F1178" s="96"/>
    </row>
    <row r="1179" spans="1:6" ht="13.5">
      <c r="A1179" s="86"/>
      <c r="B1179" s="91"/>
      <c r="C1179" s="92"/>
      <c r="D1179" s="82"/>
      <c r="E1179" s="82"/>
      <c r="F1179" s="96"/>
    </row>
    <row r="1180" spans="1:6" ht="13.5">
      <c r="A1180" s="86"/>
      <c r="B1180" s="91"/>
      <c r="C1180" s="92"/>
      <c r="D1180" s="82"/>
      <c r="E1180" s="82"/>
      <c r="F1180" s="96"/>
    </row>
    <row r="1181" spans="1:6" ht="13.5">
      <c r="A1181" s="86"/>
      <c r="B1181" s="91"/>
      <c r="C1181" s="92"/>
      <c r="D1181" s="82"/>
      <c r="E1181" s="82"/>
      <c r="F1181" s="96"/>
    </row>
    <row r="1182" spans="1:6" ht="13.5">
      <c r="A1182" s="86"/>
      <c r="B1182" s="91"/>
      <c r="C1182" s="92"/>
      <c r="D1182" s="82"/>
      <c r="E1182" s="82"/>
      <c r="F1182" s="96"/>
    </row>
    <row r="1183" spans="1:6" ht="13.5">
      <c r="A1183" s="86"/>
      <c r="B1183" s="91"/>
      <c r="C1183" s="92"/>
      <c r="D1183" s="82"/>
      <c r="E1183" s="82"/>
      <c r="F1183" s="96"/>
    </row>
    <row r="1184" spans="1:6" ht="13.5">
      <c r="A1184" s="86"/>
      <c r="B1184" s="91"/>
      <c r="C1184" s="92"/>
      <c r="D1184" s="82"/>
      <c r="E1184" s="82"/>
      <c r="F1184" s="96"/>
    </row>
    <row r="1185" spans="1:6" ht="13.5">
      <c r="A1185" s="86"/>
      <c r="B1185" s="91"/>
      <c r="C1185" s="92"/>
      <c r="D1185" s="82"/>
      <c r="E1185" s="82"/>
      <c r="F1185" s="96"/>
    </row>
    <row r="1186" spans="1:6" ht="13.5">
      <c r="A1186" s="86"/>
      <c r="B1186" s="91"/>
      <c r="C1186" s="92"/>
      <c r="D1186" s="82"/>
      <c r="E1186" s="82"/>
      <c r="F1186" s="96"/>
    </row>
    <row r="1187" spans="1:6" ht="13.5">
      <c r="A1187" s="86"/>
      <c r="B1187" s="91"/>
      <c r="C1187" s="92"/>
      <c r="D1187" s="82"/>
      <c r="E1187" s="82"/>
      <c r="F1187" s="96"/>
    </row>
    <row r="1188" spans="1:6" ht="13.5">
      <c r="A1188" s="86"/>
      <c r="B1188" s="91"/>
      <c r="C1188" s="92"/>
      <c r="D1188" s="82"/>
      <c r="E1188" s="82"/>
      <c r="F1188" s="96"/>
    </row>
    <row r="1189" spans="1:6" ht="13.5">
      <c r="A1189" s="86"/>
      <c r="B1189" s="91"/>
      <c r="C1189" s="92"/>
      <c r="D1189" s="82"/>
      <c r="E1189" s="82"/>
      <c r="F1189" s="96"/>
    </row>
    <row r="1190" spans="1:6" ht="13.5">
      <c r="A1190" s="86"/>
      <c r="B1190" s="91"/>
      <c r="C1190" s="92"/>
      <c r="D1190" s="82"/>
      <c r="E1190" s="82"/>
      <c r="F1190" s="96"/>
    </row>
    <row r="1191" spans="1:6" ht="13.5">
      <c r="A1191" s="86"/>
      <c r="B1191" s="91"/>
      <c r="C1191" s="92"/>
      <c r="D1191" s="82"/>
      <c r="E1191" s="82"/>
      <c r="F1191" s="96"/>
    </row>
    <row r="1192" spans="1:6" ht="13.5">
      <c r="A1192" s="86"/>
      <c r="B1192" s="91"/>
      <c r="C1192" s="92"/>
      <c r="D1192" s="82"/>
      <c r="E1192" s="82"/>
      <c r="F1192" s="96"/>
    </row>
    <row r="1193" spans="1:6" ht="13.5">
      <c r="A1193" s="86"/>
      <c r="B1193" s="91"/>
      <c r="C1193" s="92"/>
      <c r="D1193" s="82"/>
      <c r="E1193" s="82"/>
      <c r="F1193" s="96"/>
    </row>
    <row r="1194" spans="1:6" ht="13.5">
      <c r="A1194" s="86"/>
      <c r="B1194" s="91"/>
      <c r="C1194" s="92"/>
      <c r="D1194" s="82"/>
      <c r="E1194" s="82"/>
      <c r="F1194" s="96"/>
    </row>
    <row r="1195" spans="1:6" ht="13.5">
      <c r="A1195" s="86"/>
      <c r="B1195" s="91"/>
      <c r="C1195" s="92"/>
      <c r="D1195" s="82"/>
      <c r="E1195" s="82"/>
      <c r="F1195" s="96"/>
    </row>
    <row r="1196" spans="1:6" ht="13.5">
      <c r="A1196" s="86"/>
      <c r="B1196" s="91"/>
      <c r="C1196" s="92"/>
      <c r="D1196" s="82"/>
      <c r="E1196" s="82"/>
      <c r="F1196" s="96"/>
    </row>
    <row r="1197" spans="1:6" ht="13.5">
      <c r="A1197" s="86"/>
      <c r="B1197" s="91"/>
      <c r="C1197" s="92"/>
      <c r="D1197" s="82"/>
      <c r="E1197" s="82"/>
      <c r="F1197" s="96"/>
    </row>
    <row r="1198" spans="1:6" ht="13.5">
      <c r="A1198" s="86"/>
      <c r="B1198" s="91"/>
      <c r="C1198" s="92"/>
      <c r="D1198" s="82"/>
      <c r="E1198" s="82"/>
      <c r="F1198" s="96"/>
    </row>
    <row r="1199" spans="1:6" ht="13.5">
      <c r="A1199" s="86"/>
      <c r="B1199" s="91"/>
      <c r="C1199" s="92"/>
      <c r="D1199" s="82"/>
      <c r="E1199" s="82"/>
      <c r="F1199" s="96"/>
    </row>
    <row r="1200" spans="1:6" ht="13.5">
      <c r="A1200" s="86"/>
      <c r="B1200" s="91"/>
      <c r="C1200" s="92"/>
      <c r="D1200" s="82"/>
      <c r="E1200" s="82"/>
      <c r="F1200" s="96"/>
    </row>
    <row r="1201" spans="1:6" ht="13.5">
      <c r="A1201" s="86"/>
      <c r="B1201" s="91"/>
      <c r="C1201" s="92"/>
      <c r="D1201" s="82"/>
      <c r="E1201" s="82"/>
      <c r="F1201" s="96"/>
    </row>
    <row r="1202" spans="1:6" ht="13.5">
      <c r="A1202" s="86"/>
      <c r="B1202" s="91"/>
      <c r="C1202" s="92"/>
      <c r="D1202" s="82"/>
      <c r="E1202" s="82"/>
      <c r="F1202" s="96"/>
    </row>
    <row r="1203" spans="1:6" ht="13.5">
      <c r="A1203" s="86"/>
      <c r="B1203" s="91"/>
      <c r="C1203" s="92"/>
      <c r="D1203" s="82"/>
      <c r="E1203" s="82"/>
      <c r="F1203" s="96"/>
    </row>
    <row r="1204" spans="1:6" ht="13.5">
      <c r="A1204" s="86"/>
      <c r="B1204" s="91"/>
      <c r="C1204" s="92"/>
      <c r="D1204" s="82"/>
      <c r="E1204" s="82"/>
      <c r="F1204" s="96"/>
    </row>
    <row r="1205" spans="1:6" ht="13.5">
      <c r="A1205" s="86"/>
      <c r="B1205" s="91"/>
      <c r="C1205" s="92"/>
      <c r="D1205" s="82"/>
      <c r="E1205" s="82"/>
      <c r="F1205" s="96"/>
    </row>
    <row r="1206" spans="1:6" ht="13.5">
      <c r="A1206" s="86"/>
      <c r="B1206" s="91"/>
      <c r="C1206" s="92"/>
      <c r="D1206" s="82"/>
      <c r="E1206" s="82"/>
      <c r="F1206" s="96"/>
    </row>
    <row r="1207" spans="1:6" ht="13.5">
      <c r="A1207" s="86"/>
      <c r="B1207" s="91"/>
      <c r="C1207" s="92"/>
      <c r="D1207" s="82"/>
      <c r="E1207" s="82"/>
      <c r="F1207" s="96"/>
    </row>
    <row r="1208" spans="1:6" ht="13.5">
      <c r="A1208" s="86"/>
      <c r="B1208" s="91"/>
      <c r="C1208" s="92"/>
      <c r="D1208" s="82"/>
      <c r="E1208" s="82"/>
      <c r="F1208" s="96"/>
    </row>
    <row r="1209" spans="1:6" ht="13.5">
      <c r="A1209" s="86"/>
      <c r="B1209" s="91"/>
      <c r="C1209" s="92"/>
      <c r="D1209" s="82"/>
      <c r="E1209" s="82"/>
      <c r="F1209" s="96"/>
    </row>
    <row r="1210" spans="1:6" ht="13.5">
      <c r="A1210" s="86"/>
      <c r="B1210" s="91"/>
      <c r="C1210" s="92"/>
      <c r="D1210" s="82"/>
      <c r="E1210" s="82"/>
      <c r="F1210" s="96"/>
    </row>
    <row r="1211" spans="1:6" ht="13.5">
      <c r="A1211" s="86"/>
      <c r="B1211" s="91"/>
      <c r="C1211" s="92"/>
      <c r="D1211" s="82"/>
      <c r="E1211" s="82"/>
      <c r="F1211" s="96"/>
    </row>
    <row r="1212" spans="1:6" ht="13.5">
      <c r="A1212" s="86"/>
      <c r="B1212" s="91"/>
      <c r="C1212" s="92"/>
      <c r="D1212" s="82"/>
      <c r="E1212" s="82"/>
      <c r="F1212" s="96"/>
    </row>
    <row r="1213" spans="1:6" ht="13.5">
      <c r="A1213" s="86"/>
      <c r="B1213" s="91"/>
      <c r="C1213" s="92"/>
      <c r="D1213" s="82"/>
      <c r="E1213" s="82"/>
      <c r="F1213" s="96"/>
    </row>
    <row r="1214" spans="1:6" ht="13.5">
      <c r="A1214" s="86"/>
      <c r="B1214" s="91"/>
      <c r="C1214" s="92"/>
      <c r="D1214" s="82"/>
      <c r="E1214" s="82"/>
      <c r="F1214" s="96"/>
    </row>
    <row r="1215" spans="1:6" ht="13.5">
      <c r="A1215" s="86"/>
      <c r="B1215" s="91"/>
      <c r="C1215" s="92"/>
      <c r="D1215" s="82"/>
      <c r="E1215" s="82"/>
      <c r="F1215" s="96"/>
    </row>
    <row r="1216" spans="1:6" ht="13.5">
      <c r="A1216" s="86"/>
      <c r="B1216" s="91"/>
      <c r="C1216" s="92"/>
      <c r="D1216" s="82"/>
      <c r="E1216" s="82"/>
      <c r="F1216" s="96"/>
    </row>
    <row r="1217" spans="1:6" ht="13.5">
      <c r="A1217" s="86"/>
      <c r="B1217" s="91"/>
      <c r="C1217" s="92"/>
      <c r="D1217" s="82"/>
      <c r="E1217" s="82"/>
      <c r="F1217" s="96"/>
    </row>
    <row r="1218" spans="1:6" ht="13.5">
      <c r="A1218" s="86"/>
      <c r="B1218" s="91"/>
      <c r="C1218" s="92"/>
      <c r="D1218" s="82"/>
      <c r="E1218" s="82"/>
      <c r="F1218" s="96"/>
    </row>
    <row r="1219" spans="1:6" ht="13.5">
      <c r="A1219" s="86"/>
      <c r="B1219" s="91"/>
      <c r="C1219" s="92"/>
      <c r="D1219" s="82"/>
      <c r="E1219" s="82"/>
      <c r="F1219" s="96"/>
    </row>
    <row r="1220" spans="1:6" ht="13.5">
      <c r="A1220" s="86"/>
      <c r="B1220" s="91"/>
      <c r="C1220" s="92"/>
      <c r="D1220" s="82"/>
      <c r="E1220" s="82"/>
      <c r="F1220" s="96"/>
    </row>
    <row r="1221" spans="1:6" ht="13.5">
      <c r="A1221" s="86"/>
      <c r="B1221" s="91"/>
      <c r="C1221" s="92"/>
      <c r="D1221" s="82"/>
      <c r="E1221" s="82"/>
      <c r="F1221" s="96"/>
    </row>
    <row r="1222" spans="1:6" ht="13.5">
      <c r="A1222" s="86"/>
      <c r="B1222" s="91"/>
      <c r="C1222" s="92"/>
      <c r="D1222" s="82"/>
      <c r="E1222" s="82"/>
      <c r="F1222" s="96"/>
    </row>
    <row r="1223" spans="1:6" ht="13.5">
      <c r="A1223" s="86"/>
      <c r="B1223" s="91"/>
      <c r="C1223" s="92"/>
      <c r="D1223" s="82"/>
      <c r="E1223" s="82"/>
      <c r="F1223" s="96"/>
    </row>
    <row r="1224" spans="1:6" ht="13.5">
      <c r="A1224" s="86"/>
      <c r="B1224" s="91"/>
      <c r="C1224" s="92"/>
      <c r="D1224" s="82"/>
      <c r="E1224" s="82"/>
      <c r="F1224" s="96"/>
    </row>
    <row r="1225" spans="1:6" ht="13.5">
      <c r="A1225" s="86"/>
      <c r="B1225" s="91"/>
      <c r="C1225" s="92"/>
      <c r="D1225" s="82"/>
      <c r="E1225" s="82"/>
      <c r="F1225" s="96"/>
    </row>
    <row r="1226" spans="1:6" ht="13.5">
      <c r="A1226" s="86"/>
      <c r="B1226" s="91"/>
      <c r="C1226" s="92"/>
      <c r="D1226" s="82"/>
      <c r="E1226" s="82"/>
      <c r="F1226" s="96"/>
    </row>
    <row r="1227" spans="1:6" ht="13.5">
      <c r="A1227" s="86"/>
      <c r="B1227" s="91"/>
      <c r="C1227" s="92"/>
      <c r="D1227" s="82"/>
      <c r="E1227" s="82"/>
      <c r="F1227" s="96"/>
    </row>
    <row r="1228" spans="1:6" ht="13.5">
      <c r="A1228" s="86"/>
      <c r="B1228" s="91"/>
      <c r="C1228" s="92"/>
      <c r="D1228" s="82"/>
      <c r="E1228" s="82"/>
      <c r="F1228" s="96"/>
    </row>
    <row r="1229" spans="1:6" ht="13.5">
      <c r="A1229" s="86"/>
      <c r="B1229" s="91"/>
      <c r="C1229" s="92"/>
      <c r="D1229" s="82"/>
      <c r="E1229" s="82"/>
      <c r="F1229" s="96"/>
    </row>
    <row r="1230" spans="1:6" ht="13.5">
      <c r="A1230" s="86"/>
      <c r="B1230" s="91"/>
      <c r="C1230" s="92"/>
      <c r="D1230" s="82"/>
      <c r="E1230" s="82"/>
      <c r="F1230" s="96"/>
    </row>
    <row r="1231" spans="1:6" ht="13.5">
      <c r="A1231" s="86"/>
      <c r="B1231" s="91"/>
      <c r="C1231" s="92"/>
      <c r="D1231" s="82"/>
      <c r="E1231" s="82"/>
      <c r="F1231" s="96"/>
    </row>
    <row r="1232" spans="1:6" ht="13.5">
      <c r="A1232" s="86"/>
      <c r="B1232" s="91"/>
      <c r="C1232" s="92"/>
      <c r="D1232" s="82"/>
      <c r="E1232" s="82"/>
      <c r="F1232" s="96"/>
    </row>
    <row r="1233" spans="1:6" ht="13.5">
      <c r="A1233" s="86"/>
      <c r="B1233" s="91"/>
      <c r="C1233" s="92"/>
      <c r="D1233" s="82"/>
      <c r="E1233" s="82"/>
      <c r="F1233" s="96"/>
    </row>
    <row r="1234" spans="1:6" ht="13.5">
      <c r="A1234" s="86"/>
      <c r="B1234" s="91"/>
      <c r="C1234" s="92"/>
      <c r="D1234" s="82"/>
      <c r="E1234" s="82"/>
      <c r="F1234" s="96"/>
    </row>
    <row r="1235" spans="1:6" ht="13.5">
      <c r="A1235" s="86"/>
      <c r="B1235" s="91"/>
      <c r="C1235" s="92"/>
      <c r="D1235" s="82"/>
      <c r="E1235" s="82"/>
      <c r="F1235" s="96"/>
    </row>
    <row r="1236" spans="1:6" ht="13.5">
      <c r="A1236" s="86"/>
      <c r="B1236" s="91"/>
      <c r="C1236" s="92"/>
      <c r="D1236" s="82"/>
      <c r="E1236" s="82"/>
      <c r="F1236" s="96"/>
    </row>
    <row r="1237" spans="1:6" ht="13.5">
      <c r="A1237" s="86"/>
      <c r="B1237" s="91"/>
      <c r="C1237" s="92"/>
      <c r="D1237" s="82"/>
      <c r="E1237" s="82"/>
      <c r="F1237" s="96"/>
    </row>
    <row r="1238" spans="1:6" ht="13.5">
      <c r="A1238" s="86"/>
      <c r="B1238" s="91"/>
      <c r="C1238" s="92"/>
      <c r="D1238" s="82"/>
      <c r="E1238" s="82"/>
      <c r="F1238" s="96"/>
    </row>
    <row r="1239" spans="1:6" ht="13.5">
      <c r="A1239" s="86"/>
      <c r="B1239" s="91"/>
      <c r="C1239" s="92"/>
      <c r="D1239" s="82"/>
      <c r="E1239" s="82"/>
      <c r="F1239" s="96"/>
    </row>
    <row r="1240" spans="1:6" ht="13.5">
      <c r="A1240" s="86"/>
      <c r="B1240" s="91"/>
      <c r="C1240" s="92"/>
      <c r="D1240" s="82"/>
      <c r="E1240" s="82"/>
      <c r="F1240" s="96"/>
    </row>
    <row r="1241" spans="1:6" ht="13.5">
      <c r="A1241" s="86"/>
      <c r="B1241" s="91"/>
      <c r="C1241" s="92"/>
      <c r="D1241" s="82"/>
      <c r="E1241" s="82"/>
      <c r="F1241" s="96"/>
    </row>
    <row r="1242" spans="1:6" ht="13.5">
      <c r="A1242" s="86"/>
      <c r="B1242" s="91"/>
      <c r="C1242" s="92"/>
      <c r="D1242" s="82"/>
      <c r="E1242" s="82"/>
      <c r="F1242" s="96"/>
    </row>
    <row r="1243" spans="1:6" ht="13.5">
      <c r="A1243" s="86"/>
      <c r="B1243" s="91"/>
      <c r="C1243" s="92"/>
      <c r="D1243" s="82"/>
      <c r="E1243" s="82"/>
      <c r="F1243" s="96"/>
    </row>
    <row r="1244" spans="1:6" ht="13.5">
      <c r="A1244" s="86"/>
      <c r="B1244" s="91"/>
      <c r="C1244" s="92"/>
      <c r="D1244" s="82"/>
      <c r="E1244" s="82"/>
      <c r="F1244" s="96"/>
    </row>
    <row r="1245" spans="1:6" ht="13.5">
      <c r="A1245" s="86"/>
      <c r="B1245" s="91"/>
      <c r="C1245" s="92"/>
      <c r="D1245" s="82"/>
      <c r="E1245" s="82"/>
      <c r="F1245" s="96"/>
    </row>
    <row r="1246" spans="1:6" ht="13.5">
      <c r="A1246" s="86"/>
      <c r="B1246" s="91"/>
      <c r="C1246" s="92"/>
      <c r="D1246" s="82"/>
      <c r="E1246" s="82"/>
      <c r="F1246" s="96"/>
    </row>
    <row r="1247" spans="1:6" ht="13.5">
      <c r="A1247" s="86"/>
      <c r="B1247" s="91"/>
      <c r="C1247" s="92"/>
      <c r="D1247" s="82"/>
      <c r="E1247" s="82"/>
      <c r="F1247" s="96"/>
    </row>
    <row r="1248" spans="1:6" ht="13.5">
      <c r="A1248" s="86"/>
      <c r="B1248" s="91"/>
      <c r="C1248" s="92"/>
      <c r="D1248" s="82"/>
      <c r="E1248" s="82"/>
      <c r="F1248" s="96"/>
    </row>
    <row r="1249" spans="1:6" ht="13.5">
      <c r="A1249" s="86"/>
      <c r="B1249" s="91"/>
      <c r="C1249" s="92"/>
      <c r="D1249" s="82"/>
      <c r="E1249" s="82"/>
      <c r="F1249" s="96"/>
    </row>
    <row r="1250" spans="1:6" ht="13.5">
      <c r="A1250" s="86"/>
      <c r="B1250" s="91"/>
      <c r="C1250" s="92"/>
      <c r="D1250" s="82"/>
      <c r="E1250" s="82"/>
      <c r="F1250" s="96"/>
    </row>
    <row r="1251" spans="1:6" ht="13.5">
      <c r="A1251" s="86"/>
      <c r="B1251" s="91"/>
      <c r="C1251" s="92"/>
      <c r="D1251" s="82"/>
      <c r="E1251" s="82"/>
      <c r="F1251" s="96"/>
    </row>
    <row r="1252" spans="1:6" ht="13.5">
      <c r="A1252" s="86"/>
      <c r="B1252" s="91"/>
      <c r="C1252" s="92"/>
      <c r="D1252" s="82"/>
      <c r="E1252" s="82"/>
      <c r="F1252" s="96"/>
    </row>
    <row r="1253" spans="1:6" ht="13.5">
      <c r="A1253" s="86"/>
      <c r="B1253" s="91"/>
      <c r="C1253" s="92"/>
      <c r="D1253" s="82"/>
      <c r="E1253" s="82"/>
      <c r="F1253" s="96"/>
    </row>
    <row r="1254" spans="1:6" ht="13.5">
      <c r="A1254" s="86"/>
      <c r="B1254" s="91"/>
      <c r="C1254" s="92"/>
      <c r="D1254" s="82"/>
      <c r="E1254" s="82"/>
      <c r="F1254" s="96"/>
    </row>
    <row r="1255" spans="1:6" ht="13.5">
      <c r="A1255" s="86"/>
      <c r="B1255" s="91"/>
      <c r="C1255" s="92"/>
      <c r="D1255" s="82"/>
      <c r="E1255" s="82"/>
      <c r="F1255" s="96"/>
    </row>
    <row r="1256" spans="1:6" ht="13.5">
      <c r="A1256" s="86"/>
      <c r="B1256" s="91"/>
      <c r="C1256" s="92"/>
      <c r="D1256" s="82"/>
      <c r="E1256" s="82"/>
      <c r="F1256" s="96"/>
    </row>
    <row r="1257" spans="1:6" ht="13.5">
      <c r="A1257" s="86"/>
      <c r="B1257" s="91"/>
      <c r="C1257" s="92"/>
      <c r="D1257" s="82"/>
      <c r="E1257" s="82"/>
      <c r="F1257" s="96"/>
    </row>
    <row r="1258" spans="1:6" ht="13.5">
      <c r="A1258" s="86"/>
      <c r="B1258" s="91"/>
      <c r="C1258" s="92"/>
      <c r="D1258" s="82"/>
      <c r="E1258" s="82"/>
      <c r="F1258" s="96"/>
    </row>
    <row r="1259" spans="1:6" ht="13.5">
      <c r="A1259" s="86"/>
      <c r="B1259" s="91"/>
      <c r="C1259" s="92"/>
      <c r="D1259" s="82"/>
      <c r="E1259" s="82"/>
      <c r="F1259" s="96"/>
    </row>
    <row r="1260" spans="1:6" ht="13.5">
      <c r="A1260" s="86"/>
      <c r="B1260" s="91"/>
      <c r="C1260" s="92"/>
      <c r="D1260" s="82"/>
      <c r="E1260" s="82"/>
      <c r="F1260" s="96"/>
    </row>
    <row r="1261" spans="1:6" ht="13.5">
      <c r="A1261" s="86"/>
      <c r="B1261" s="91"/>
      <c r="C1261" s="92"/>
      <c r="D1261" s="82"/>
      <c r="E1261" s="82"/>
      <c r="F1261" s="96"/>
    </row>
    <row r="1262" spans="1:6" ht="13.5">
      <c r="A1262" s="86"/>
      <c r="B1262" s="91"/>
      <c r="C1262" s="92"/>
      <c r="D1262" s="82"/>
      <c r="E1262" s="82"/>
      <c r="F1262" s="96"/>
    </row>
    <row r="1263" spans="1:6" ht="13.5">
      <c r="A1263" s="86"/>
      <c r="B1263" s="91"/>
      <c r="C1263" s="92"/>
      <c r="D1263" s="82"/>
      <c r="E1263" s="82"/>
      <c r="F1263" s="96"/>
    </row>
    <row r="1264" spans="1:6" ht="13.5">
      <c r="A1264" s="86"/>
      <c r="B1264" s="91"/>
      <c r="C1264" s="92"/>
      <c r="D1264" s="82"/>
      <c r="E1264" s="82"/>
      <c r="F1264" s="96"/>
    </row>
    <row r="1265" spans="1:6" ht="13.5">
      <c r="A1265" s="86"/>
      <c r="B1265" s="91"/>
      <c r="C1265" s="92"/>
      <c r="D1265" s="82"/>
      <c r="E1265" s="82"/>
      <c r="F1265" s="96"/>
    </row>
    <row r="1266" spans="1:6" ht="13.5">
      <c r="A1266" s="86"/>
      <c r="B1266" s="91"/>
      <c r="C1266" s="92"/>
      <c r="D1266" s="82"/>
      <c r="E1266" s="82"/>
      <c r="F1266" s="96"/>
    </row>
    <row r="1267" spans="1:6" ht="13.5">
      <c r="A1267" s="86"/>
      <c r="B1267" s="91"/>
      <c r="C1267" s="92"/>
      <c r="D1267" s="82"/>
      <c r="E1267" s="82"/>
      <c r="F1267" s="96"/>
    </row>
    <row r="1268" spans="1:6" ht="13.5">
      <c r="A1268" s="86"/>
      <c r="B1268" s="91"/>
      <c r="C1268" s="92"/>
      <c r="D1268" s="82"/>
      <c r="E1268" s="82"/>
      <c r="F1268" s="96"/>
    </row>
    <row r="1269" spans="1:6" ht="13.5">
      <c r="A1269" s="86"/>
      <c r="B1269" s="91"/>
      <c r="C1269" s="92"/>
      <c r="D1269" s="82"/>
      <c r="E1269" s="82"/>
      <c r="F1269" s="96"/>
    </row>
    <row r="1270" spans="1:6" ht="13.5">
      <c r="A1270" s="86"/>
      <c r="B1270" s="91"/>
      <c r="C1270" s="92"/>
      <c r="D1270" s="82"/>
      <c r="E1270" s="82"/>
      <c r="F1270" s="96"/>
    </row>
    <row r="1271" spans="1:6" ht="13.5">
      <c r="A1271" s="86"/>
      <c r="B1271" s="91"/>
      <c r="C1271" s="92"/>
      <c r="D1271" s="82"/>
      <c r="E1271" s="82"/>
      <c r="F1271" s="96"/>
    </row>
    <row r="1272" spans="1:6" ht="13.5">
      <c r="A1272" s="86"/>
      <c r="B1272" s="91"/>
      <c r="C1272" s="92"/>
      <c r="D1272" s="82"/>
      <c r="E1272" s="82"/>
      <c r="F1272" s="96"/>
    </row>
    <row r="1273" spans="1:6" ht="13.5">
      <c r="A1273" s="86"/>
      <c r="B1273" s="91"/>
      <c r="C1273" s="92"/>
      <c r="D1273" s="82"/>
      <c r="E1273" s="82"/>
      <c r="F1273" s="96"/>
    </row>
    <row r="1274" spans="1:6" ht="13.5">
      <c r="A1274" s="86"/>
      <c r="B1274" s="91"/>
      <c r="C1274" s="92"/>
      <c r="D1274" s="82"/>
      <c r="E1274" s="82"/>
      <c r="F1274" s="96"/>
    </row>
    <row r="1275" spans="1:6" ht="13.5">
      <c r="A1275" s="86"/>
      <c r="B1275" s="91"/>
      <c r="C1275" s="92"/>
      <c r="D1275" s="82"/>
      <c r="E1275" s="82"/>
      <c r="F1275" s="96"/>
    </row>
    <row r="1276" spans="1:6" ht="13.5">
      <c r="A1276" s="86"/>
      <c r="B1276" s="91"/>
      <c r="C1276" s="92"/>
      <c r="D1276" s="82"/>
      <c r="E1276" s="82"/>
      <c r="F1276" s="96"/>
    </row>
    <row r="1277" spans="1:6" ht="13.5">
      <c r="A1277" s="86"/>
      <c r="B1277" s="91"/>
      <c r="C1277" s="92"/>
      <c r="D1277" s="82"/>
      <c r="E1277" s="82"/>
      <c r="F1277" s="96"/>
    </row>
    <row r="1278" spans="1:6" ht="13.5">
      <c r="A1278" s="86"/>
      <c r="B1278" s="91"/>
      <c r="C1278" s="92"/>
      <c r="D1278" s="82"/>
      <c r="E1278" s="82"/>
      <c r="F1278" s="96"/>
    </row>
    <row r="1279" spans="1:6" ht="13.5">
      <c r="A1279" s="86"/>
      <c r="B1279" s="91"/>
      <c r="C1279" s="92"/>
      <c r="D1279" s="82"/>
      <c r="E1279" s="82"/>
      <c r="F1279" s="96"/>
    </row>
    <row r="1280" spans="1:6" ht="13.5">
      <c r="A1280" s="86"/>
      <c r="B1280" s="91"/>
      <c r="C1280" s="92"/>
      <c r="D1280" s="82"/>
      <c r="E1280" s="82"/>
      <c r="F1280" s="96"/>
    </row>
    <row r="1281" spans="1:6" ht="13.5">
      <c r="A1281" s="86"/>
      <c r="B1281" s="91"/>
      <c r="C1281" s="92"/>
      <c r="D1281" s="82"/>
      <c r="E1281" s="82"/>
      <c r="F1281" s="96"/>
    </row>
    <row r="1282" spans="1:6" ht="13.5">
      <c r="A1282" s="86"/>
      <c r="B1282" s="91"/>
      <c r="C1282" s="92"/>
      <c r="D1282" s="82"/>
      <c r="E1282" s="82"/>
      <c r="F1282" s="96"/>
    </row>
    <row r="1283" spans="1:6" ht="13.5">
      <c r="A1283" s="86"/>
      <c r="B1283" s="91"/>
      <c r="C1283" s="92"/>
      <c r="D1283" s="82"/>
      <c r="E1283" s="82"/>
      <c r="F1283" s="96"/>
    </row>
    <row r="1284" spans="1:6" ht="13.5">
      <c r="A1284" s="86"/>
      <c r="B1284" s="91"/>
      <c r="C1284" s="92"/>
      <c r="D1284" s="82"/>
      <c r="E1284" s="82"/>
      <c r="F1284" s="96"/>
    </row>
    <row r="1285" spans="1:6" ht="13.5">
      <c r="A1285" s="86"/>
      <c r="B1285" s="91"/>
      <c r="C1285" s="92"/>
      <c r="D1285" s="82"/>
      <c r="E1285" s="82"/>
      <c r="F1285" s="96"/>
    </row>
    <row r="1286" spans="1:6" ht="13.5">
      <c r="A1286" s="86"/>
      <c r="B1286" s="91"/>
      <c r="C1286" s="92"/>
      <c r="D1286" s="82"/>
      <c r="E1286" s="82"/>
      <c r="F1286" s="96"/>
    </row>
    <row r="1287" spans="1:6" ht="13.5">
      <c r="A1287" s="86"/>
      <c r="B1287" s="91"/>
      <c r="C1287" s="92"/>
      <c r="D1287" s="82"/>
      <c r="E1287" s="82"/>
      <c r="F1287" s="96"/>
    </row>
    <row r="1288" spans="1:6" ht="13.5">
      <c r="A1288" s="86"/>
      <c r="B1288" s="91"/>
      <c r="C1288" s="92"/>
      <c r="D1288" s="82"/>
      <c r="E1288" s="82"/>
      <c r="F1288" s="96"/>
    </row>
    <row r="1289" spans="1:6" ht="13.5">
      <c r="A1289" s="86"/>
      <c r="B1289" s="91"/>
      <c r="C1289" s="92"/>
      <c r="D1289" s="82"/>
      <c r="E1289" s="82"/>
      <c r="F1289" s="96"/>
    </row>
    <row r="1290" spans="1:6" ht="13.5">
      <c r="A1290" s="86"/>
      <c r="B1290" s="91"/>
      <c r="C1290" s="92"/>
      <c r="D1290" s="82"/>
      <c r="E1290" s="82"/>
      <c r="F1290" s="96"/>
    </row>
    <row r="1291" spans="1:6" ht="13.5">
      <c r="A1291" s="86"/>
      <c r="B1291" s="91"/>
      <c r="C1291" s="92"/>
      <c r="D1291" s="82"/>
      <c r="E1291" s="82"/>
      <c r="F1291" s="96"/>
    </row>
    <row r="1292" spans="1:6" ht="13.5">
      <c r="A1292" s="86"/>
      <c r="B1292" s="91"/>
      <c r="C1292" s="92"/>
      <c r="D1292" s="82"/>
      <c r="E1292" s="82"/>
      <c r="F1292" s="96"/>
    </row>
    <row r="1293" spans="1:6" ht="13.5">
      <c r="A1293" s="86"/>
      <c r="B1293" s="91"/>
      <c r="C1293" s="92"/>
      <c r="D1293" s="82"/>
      <c r="E1293" s="82"/>
      <c r="F1293" s="96"/>
    </row>
    <row r="1294" spans="1:6" ht="13.5">
      <c r="A1294" s="86"/>
      <c r="B1294" s="91"/>
      <c r="C1294" s="92"/>
      <c r="D1294" s="82"/>
      <c r="E1294" s="82"/>
      <c r="F1294" s="96"/>
    </row>
    <row r="1295" spans="1:6" ht="13.5">
      <c r="A1295" s="86"/>
      <c r="B1295" s="91"/>
      <c r="C1295" s="92"/>
      <c r="D1295" s="82"/>
      <c r="E1295" s="82"/>
      <c r="F1295" s="96"/>
    </row>
    <row r="1296" spans="1:6" ht="13.5">
      <c r="A1296" s="86"/>
      <c r="B1296" s="91"/>
      <c r="C1296" s="92"/>
      <c r="D1296" s="82"/>
      <c r="E1296" s="82"/>
      <c r="F1296" s="96"/>
    </row>
    <row r="1297" spans="1:6" ht="13.5">
      <c r="A1297" s="86"/>
      <c r="B1297" s="91"/>
      <c r="C1297" s="92"/>
      <c r="D1297" s="82"/>
      <c r="E1297" s="82"/>
      <c r="F1297" s="96"/>
    </row>
    <row r="1298" spans="1:6" ht="13.5">
      <c r="A1298" s="86"/>
      <c r="B1298" s="91"/>
      <c r="C1298" s="92"/>
      <c r="D1298" s="82"/>
      <c r="E1298" s="82"/>
      <c r="F1298" s="96"/>
    </row>
    <row r="1299" spans="1:6" ht="13.5">
      <c r="A1299" s="86"/>
      <c r="B1299" s="91"/>
      <c r="C1299" s="92"/>
      <c r="D1299" s="82"/>
      <c r="E1299" s="82"/>
      <c r="F1299" s="96"/>
    </row>
    <row r="1300" spans="1:6" ht="13.5">
      <c r="A1300" s="86"/>
      <c r="B1300" s="91"/>
      <c r="C1300" s="92"/>
      <c r="D1300" s="82"/>
      <c r="E1300" s="82"/>
      <c r="F1300" s="96"/>
    </row>
    <row r="1301" spans="1:6" ht="13.5">
      <c r="A1301" s="86"/>
      <c r="B1301" s="91"/>
      <c r="C1301" s="92"/>
      <c r="D1301" s="82"/>
      <c r="E1301" s="82"/>
      <c r="F1301" s="96"/>
    </row>
    <row r="1302" spans="1:6" ht="13.5">
      <c r="A1302" s="86"/>
      <c r="B1302" s="91"/>
      <c r="C1302" s="92"/>
      <c r="D1302" s="82"/>
      <c r="E1302" s="82"/>
      <c r="F1302" s="96"/>
    </row>
    <row r="1303" spans="1:6" ht="13.5">
      <c r="A1303" s="86"/>
      <c r="B1303" s="91"/>
      <c r="C1303" s="92"/>
      <c r="D1303" s="82"/>
      <c r="E1303" s="82"/>
      <c r="F1303" s="96"/>
    </row>
    <row r="1304" spans="1:6" ht="13.5">
      <c r="A1304" s="86"/>
      <c r="B1304" s="91"/>
      <c r="C1304" s="92"/>
      <c r="D1304" s="82"/>
      <c r="E1304" s="82"/>
      <c r="F1304" s="96"/>
    </row>
    <row r="1305" spans="1:6" ht="13.5">
      <c r="A1305" s="86"/>
      <c r="B1305" s="91"/>
      <c r="C1305" s="92"/>
      <c r="D1305" s="82"/>
      <c r="E1305" s="82"/>
      <c r="F1305" s="96"/>
    </row>
    <row r="1306" spans="1:6" ht="13.5">
      <c r="A1306" s="86"/>
      <c r="B1306" s="91"/>
      <c r="C1306" s="92"/>
      <c r="D1306" s="82"/>
      <c r="E1306" s="82"/>
      <c r="F1306" s="96"/>
    </row>
    <row r="1307" spans="1:6" ht="13.5">
      <c r="A1307" s="86"/>
      <c r="B1307" s="91"/>
      <c r="C1307" s="92"/>
      <c r="D1307" s="82"/>
      <c r="E1307" s="82"/>
      <c r="F1307" s="96"/>
    </row>
    <row r="1308" spans="1:6" ht="13.5">
      <c r="A1308" s="86"/>
      <c r="B1308" s="91"/>
      <c r="C1308" s="92"/>
      <c r="D1308" s="82"/>
      <c r="E1308" s="82"/>
      <c r="F1308" s="96"/>
    </row>
    <row r="1309" spans="1:6" ht="13.5">
      <c r="A1309" s="86"/>
      <c r="B1309" s="91"/>
      <c r="C1309" s="92"/>
      <c r="D1309" s="82"/>
      <c r="E1309" s="82"/>
      <c r="F1309" s="96"/>
    </row>
    <row r="1310" spans="1:6" ht="13.5">
      <c r="A1310" s="86"/>
      <c r="B1310" s="91"/>
      <c r="C1310" s="92"/>
      <c r="D1310" s="82"/>
      <c r="E1310" s="82"/>
      <c r="F1310" s="96"/>
    </row>
    <row r="1311" spans="1:6" ht="13.5">
      <c r="A1311" s="86"/>
      <c r="B1311" s="91"/>
      <c r="C1311" s="92"/>
      <c r="D1311" s="82"/>
      <c r="E1311" s="82"/>
      <c r="F1311" s="96"/>
    </row>
    <row r="1312" spans="1:6" ht="13.5">
      <c r="A1312" s="86"/>
      <c r="B1312" s="91"/>
      <c r="C1312" s="92"/>
      <c r="D1312" s="82"/>
      <c r="E1312" s="82"/>
      <c r="F1312" s="96"/>
    </row>
    <row r="1313" spans="1:6" ht="13.5">
      <c r="A1313" s="86"/>
      <c r="B1313" s="91"/>
      <c r="C1313" s="92"/>
      <c r="D1313" s="82"/>
      <c r="E1313" s="82"/>
      <c r="F1313" s="96"/>
    </row>
    <row r="1314" spans="1:6" ht="13.5">
      <c r="A1314" s="86"/>
      <c r="B1314" s="91"/>
      <c r="C1314" s="92"/>
      <c r="D1314" s="82"/>
      <c r="E1314" s="82"/>
      <c r="F1314" s="96"/>
    </row>
    <row r="1315" spans="1:6" ht="13.5">
      <c r="A1315" s="86"/>
      <c r="B1315" s="91"/>
      <c r="C1315" s="92"/>
      <c r="D1315" s="82"/>
      <c r="E1315" s="82"/>
      <c r="F1315" s="96"/>
    </row>
    <row r="1316" spans="1:6" ht="13.5">
      <c r="A1316" s="86"/>
      <c r="B1316" s="91"/>
      <c r="C1316" s="92"/>
      <c r="D1316" s="82"/>
      <c r="E1316" s="82"/>
      <c r="F1316" s="96"/>
    </row>
    <row r="1317" spans="1:6" ht="13.5">
      <c r="A1317" s="86"/>
      <c r="B1317" s="91"/>
      <c r="C1317" s="92"/>
      <c r="D1317" s="82"/>
      <c r="E1317" s="82"/>
      <c r="F1317" s="96"/>
    </row>
    <row r="1318" spans="1:6" ht="13.5">
      <c r="A1318" s="86"/>
      <c r="B1318" s="91"/>
      <c r="C1318" s="92"/>
      <c r="D1318" s="82"/>
      <c r="E1318" s="82"/>
      <c r="F1318" s="96"/>
    </row>
    <row r="1319" spans="1:6" ht="13.5">
      <c r="A1319" s="86"/>
      <c r="B1319" s="91"/>
      <c r="C1319" s="92"/>
      <c r="D1319" s="82"/>
      <c r="E1319" s="82"/>
      <c r="F1319" s="96"/>
    </row>
    <row r="1320" spans="1:6" ht="13.5">
      <c r="A1320" s="86"/>
      <c r="B1320" s="91"/>
      <c r="C1320" s="92"/>
      <c r="D1320" s="82"/>
      <c r="E1320" s="82"/>
      <c r="F1320" s="96"/>
    </row>
    <row r="1321" spans="1:6" ht="13.5">
      <c r="A1321" s="86"/>
      <c r="B1321" s="91"/>
      <c r="C1321" s="92"/>
      <c r="D1321" s="82"/>
      <c r="E1321" s="82"/>
      <c r="F1321" s="96"/>
    </row>
    <row r="1322" spans="1:6" ht="13.5">
      <c r="A1322" s="86"/>
      <c r="B1322" s="91"/>
      <c r="C1322" s="92"/>
      <c r="D1322" s="82"/>
      <c r="E1322" s="82"/>
      <c r="F1322" s="96"/>
    </row>
    <row r="1323" spans="1:6" ht="13.5">
      <c r="A1323" s="86"/>
      <c r="B1323" s="91"/>
      <c r="C1323" s="92"/>
      <c r="D1323" s="82"/>
      <c r="E1323" s="82"/>
      <c r="F1323" s="96"/>
    </row>
    <row r="1324" spans="1:6" ht="13.5">
      <c r="A1324" s="86"/>
      <c r="B1324" s="91"/>
      <c r="C1324" s="92"/>
      <c r="D1324" s="82"/>
      <c r="E1324" s="82"/>
      <c r="F1324" s="96"/>
    </row>
    <row r="1325" spans="1:6" ht="13.5">
      <c r="A1325" s="86"/>
      <c r="B1325" s="91"/>
      <c r="C1325" s="92"/>
      <c r="D1325" s="82"/>
      <c r="E1325" s="82"/>
      <c r="F1325" s="96"/>
    </row>
    <row r="1326" spans="1:6" ht="13.5">
      <c r="A1326" s="86"/>
      <c r="B1326" s="91"/>
      <c r="C1326" s="92"/>
      <c r="D1326" s="82"/>
      <c r="E1326" s="82"/>
      <c r="F1326" s="96"/>
    </row>
    <row r="1327" spans="1:6" ht="13.5">
      <c r="A1327" s="86"/>
      <c r="B1327" s="91"/>
      <c r="C1327" s="92"/>
      <c r="D1327" s="82"/>
      <c r="E1327" s="82"/>
      <c r="F1327" s="96"/>
    </row>
    <row r="1328" spans="1:6" ht="13.5">
      <c r="A1328" s="86"/>
      <c r="B1328" s="91"/>
      <c r="C1328" s="92"/>
      <c r="D1328" s="82"/>
      <c r="E1328" s="82"/>
      <c r="F1328" s="96"/>
    </row>
    <row r="1329" spans="1:6" ht="13.5">
      <c r="A1329" s="86"/>
      <c r="B1329" s="91"/>
      <c r="C1329" s="92"/>
      <c r="D1329" s="82"/>
      <c r="E1329" s="82"/>
      <c r="F1329" s="96"/>
    </row>
    <row r="1330" spans="1:6" ht="13.5">
      <c r="A1330" s="86"/>
      <c r="B1330" s="91"/>
      <c r="C1330" s="92"/>
      <c r="D1330" s="82"/>
      <c r="E1330" s="82"/>
      <c r="F1330" s="96"/>
    </row>
    <row r="1331" spans="1:6" ht="13.5">
      <c r="A1331" s="86"/>
      <c r="B1331" s="91"/>
      <c r="C1331" s="92"/>
      <c r="D1331" s="82"/>
      <c r="E1331" s="82"/>
      <c r="F1331" s="96"/>
    </row>
    <row r="1332" spans="1:6" ht="13.5">
      <c r="A1332" s="86"/>
      <c r="B1332" s="91"/>
      <c r="C1332" s="92"/>
      <c r="D1332" s="82"/>
      <c r="E1332" s="82"/>
      <c r="F1332" s="96"/>
    </row>
    <row r="1333" spans="1:6" ht="13.5">
      <c r="A1333" s="86"/>
      <c r="B1333" s="91"/>
      <c r="C1333" s="92"/>
      <c r="D1333" s="82"/>
      <c r="E1333" s="82"/>
      <c r="F1333" s="96"/>
    </row>
    <row r="1334" spans="1:6" ht="13.5">
      <c r="A1334" s="86"/>
      <c r="B1334" s="91"/>
      <c r="C1334" s="92"/>
      <c r="D1334" s="82"/>
      <c r="E1334" s="82"/>
      <c r="F1334" s="96"/>
    </row>
    <row r="1335" spans="1:6" ht="13.5">
      <c r="A1335" s="86"/>
      <c r="B1335" s="91"/>
      <c r="C1335" s="92"/>
      <c r="D1335" s="82"/>
      <c r="E1335" s="82"/>
      <c r="F1335" s="96"/>
    </row>
    <row r="1336" spans="1:6" ht="13.5">
      <c r="A1336" s="86"/>
      <c r="B1336" s="91"/>
      <c r="C1336" s="92"/>
      <c r="D1336" s="82"/>
      <c r="E1336" s="82"/>
      <c r="F1336" s="96"/>
    </row>
    <row r="1337" spans="1:6" ht="13.5">
      <c r="A1337" s="86"/>
      <c r="B1337" s="91"/>
      <c r="C1337" s="92"/>
      <c r="D1337" s="82"/>
      <c r="E1337" s="82"/>
      <c r="F1337" s="96"/>
    </row>
    <row r="1338" spans="1:6" ht="13.5">
      <c r="A1338" s="86"/>
      <c r="B1338" s="91"/>
      <c r="C1338" s="92"/>
      <c r="D1338" s="82"/>
      <c r="E1338" s="82"/>
      <c r="F1338" s="96"/>
    </row>
    <row r="1339" spans="1:6" ht="13.5">
      <c r="A1339" s="86"/>
      <c r="B1339" s="91"/>
      <c r="C1339" s="92"/>
      <c r="D1339" s="82"/>
      <c r="E1339" s="82"/>
      <c r="F1339" s="96"/>
    </row>
    <row r="1340" spans="1:6" ht="13.5">
      <c r="A1340" s="86"/>
      <c r="B1340" s="91"/>
      <c r="C1340" s="92"/>
      <c r="D1340" s="82"/>
      <c r="E1340" s="82"/>
      <c r="F1340" s="96"/>
    </row>
    <row r="1341" spans="1:6" ht="13.5">
      <c r="A1341" s="86"/>
      <c r="B1341" s="91"/>
      <c r="C1341" s="92"/>
      <c r="D1341" s="82"/>
      <c r="E1341" s="82"/>
      <c r="F1341" s="96"/>
    </row>
    <row r="1342" spans="1:6" ht="13.5">
      <c r="A1342" s="86"/>
      <c r="B1342" s="91"/>
      <c r="C1342" s="92"/>
      <c r="D1342" s="82"/>
      <c r="E1342" s="82"/>
      <c r="F1342" s="96"/>
    </row>
    <row r="1343" spans="1:6" ht="13.5">
      <c r="A1343" s="86"/>
      <c r="B1343" s="91"/>
      <c r="C1343" s="92"/>
      <c r="D1343" s="82"/>
      <c r="E1343" s="82"/>
      <c r="F1343" s="96"/>
    </row>
    <row r="1344" spans="1:6" ht="13.5">
      <c r="A1344" s="86"/>
      <c r="B1344" s="91"/>
      <c r="C1344" s="92"/>
      <c r="D1344" s="82"/>
      <c r="E1344" s="82"/>
      <c r="F1344" s="96"/>
    </row>
    <row r="1345" spans="1:6" ht="13.5">
      <c r="A1345" s="86"/>
      <c r="B1345" s="91"/>
      <c r="C1345" s="92"/>
      <c r="D1345" s="82"/>
      <c r="E1345" s="82"/>
      <c r="F1345" s="96"/>
    </row>
    <row r="1346" spans="1:6" ht="13.5">
      <c r="A1346" s="86"/>
      <c r="B1346" s="91"/>
      <c r="C1346" s="92"/>
      <c r="D1346" s="82"/>
      <c r="E1346" s="82"/>
      <c r="F1346" s="96"/>
    </row>
    <row r="1347" spans="1:6" ht="13.5">
      <c r="A1347" s="86"/>
      <c r="B1347" s="91"/>
      <c r="C1347" s="92"/>
      <c r="D1347" s="82"/>
      <c r="E1347" s="82"/>
      <c r="F1347" s="96"/>
    </row>
    <row r="1348" spans="1:6" ht="13.5">
      <c r="A1348" s="86"/>
      <c r="B1348" s="91"/>
      <c r="C1348" s="92"/>
      <c r="D1348" s="82"/>
      <c r="E1348" s="82"/>
      <c r="F1348" s="96"/>
    </row>
    <row r="1349" spans="1:6" ht="13.5">
      <c r="A1349" s="86"/>
      <c r="B1349" s="91"/>
      <c r="C1349" s="92"/>
      <c r="D1349" s="82"/>
      <c r="E1349" s="82"/>
      <c r="F1349" s="96"/>
    </row>
    <row r="1350" spans="1:6" ht="13.5">
      <c r="A1350" s="86"/>
      <c r="B1350" s="91"/>
      <c r="C1350" s="92"/>
      <c r="D1350" s="82"/>
      <c r="E1350" s="82"/>
      <c r="F1350" s="96"/>
    </row>
    <row r="1351" spans="1:6" ht="13.5">
      <c r="A1351" s="86"/>
      <c r="B1351" s="91"/>
      <c r="C1351" s="92"/>
      <c r="D1351" s="82"/>
      <c r="E1351" s="82"/>
      <c r="F1351" s="96"/>
    </row>
    <row r="1352" spans="1:6" ht="13.5">
      <c r="A1352" s="86"/>
      <c r="B1352" s="91"/>
      <c r="C1352" s="92"/>
      <c r="D1352" s="82"/>
      <c r="E1352" s="82"/>
      <c r="F1352" s="96"/>
    </row>
    <row r="1353" spans="1:6" ht="13.5">
      <c r="A1353" s="86"/>
      <c r="B1353" s="91"/>
      <c r="C1353" s="92"/>
      <c r="D1353" s="82"/>
      <c r="E1353" s="82"/>
      <c r="F1353" s="96"/>
    </row>
    <row r="1354" spans="1:6" ht="13.5">
      <c r="A1354" s="86"/>
      <c r="B1354" s="91"/>
      <c r="C1354" s="92"/>
      <c r="D1354" s="82"/>
      <c r="E1354" s="82"/>
      <c r="F1354" s="96"/>
    </row>
    <row r="1355" spans="1:6" ht="13.5">
      <c r="A1355" s="86"/>
      <c r="B1355" s="91"/>
      <c r="C1355" s="92"/>
      <c r="D1355" s="82"/>
      <c r="E1355" s="82"/>
      <c r="F1355" s="96"/>
    </row>
    <row r="1356" spans="1:6" ht="13.5">
      <c r="A1356" s="86"/>
      <c r="B1356" s="91"/>
      <c r="C1356" s="92"/>
      <c r="D1356" s="82"/>
      <c r="E1356" s="82"/>
      <c r="F1356" s="96"/>
    </row>
    <row r="1357" spans="1:6" ht="13.5">
      <c r="A1357" s="86"/>
      <c r="B1357" s="91"/>
      <c r="C1357" s="92"/>
      <c r="D1357" s="82"/>
      <c r="E1357" s="82"/>
      <c r="F1357" s="96"/>
    </row>
    <row r="1358" spans="1:6" ht="13.5">
      <c r="A1358" s="86"/>
      <c r="B1358" s="91"/>
      <c r="C1358" s="92"/>
      <c r="D1358" s="82"/>
      <c r="E1358" s="82"/>
      <c r="F1358" s="96"/>
    </row>
    <row r="1359" spans="1:6" ht="13.5">
      <c r="A1359" s="86"/>
      <c r="B1359" s="91"/>
      <c r="C1359" s="92"/>
      <c r="D1359" s="82"/>
      <c r="E1359" s="82"/>
      <c r="F1359" s="96"/>
    </row>
    <row r="1360" spans="1:6" ht="13.5">
      <c r="A1360" s="86"/>
      <c r="B1360" s="91"/>
      <c r="C1360" s="92"/>
      <c r="D1360" s="82"/>
      <c r="E1360" s="82"/>
      <c r="F1360" s="96"/>
    </row>
    <row r="1361" spans="1:6" ht="13.5">
      <c r="A1361" s="86"/>
      <c r="B1361" s="91"/>
      <c r="C1361" s="92"/>
      <c r="D1361" s="82"/>
      <c r="E1361" s="82"/>
      <c r="F1361" s="96"/>
    </row>
    <row r="1362" spans="1:6" ht="13.5">
      <c r="A1362" s="86"/>
      <c r="B1362" s="91"/>
      <c r="C1362" s="92"/>
      <c r="D1362" s="82"/>
      <c r="E1362" s="82"/>
      <c r="F1362" s="96"/>
    </row>
    <row r="1363" spans="1:6" ht="13.5">
      <c r="A1363" s="86"/>
      <c r="B1363" s="91"/>
      <c r="C1363" s="92"/>
      <c r="D1363" s="82"/>
      <c r="E1363" s="82"/>
      <c r="F1363" s="96"/>
    </row>
    <row r="1364" spans="1:6" ht="13.5">
      <c r="A1364" s="86"/>
      <c r="B1364" s="91"/>
      <c r="C1364" s="92"/>
      <c r="D1364" s="82"/>
      <c r="E1364" s="82"/>
      <c r="F1364" s="96"/>
    </row>
    <row r="1365" spans="1:6" ht="13.5">
      <c r="A1365" s="86"/>
      <c r="B1365" s="91"/>
      <c r="C1365" s="92"/>
      <c r="D1365" s="82"/>
      <c r="E1365" s="82"/>
      <c r="F1365" s="96"/>
    </row>
    <row r="1366" spans="1:6" ht="13.5">
      <c r="A1366" s="86"/>
      <c r="B1366" s="91"/>
      <c r="C1366" s="92"/>
      <c r="D1366" s="82"/>
      <c r="E1366" s="82"/>
      <c r="F1366" s="96"/>
    </row>
    <row r="1367" spans="1:6" ht="13.5">
      <c r="A1367" s="86"/>
      <c r="B1367" s="91"/>
      <c r="C1367" s="92"/>
      <c r="D1367" s="82"/>
      <c r="E1367" s="82"/>
      <c r="F1367" s="96"/>
    </row>
    <row r="1368" spans="1:6" ht="13.5">
      <c r="A1368" s="86"/>
      <c r="B1368" s="91"/>
      <c r="C1368" s="92"/>
      <c r="D1368" s="82"/>
      <c r="E1368" s="82"/>
      <c r="F1368" s="96"/>
    </row>
    <row r="1369" spans="1:6" ht="13.5">
      <c r="A1369" s="86"/>
      <c r="B1369" s="91"/>
      <c r="C1369" s="92"/>
      <c r="D1369" s="82"/>
      <c r="E1369" s="82"/>
      <c r="F1369" s="96"/>
    </row>
    <row r="1370" spans="1:6" ht="13.5">
      <c r="A1370" s="86"/>
      <c r="B1370" s="91"/>
      <c r="C1370" s="92"/>
      <c r="D1370" s="82"/>
      <c r="E1370" s="82"/>
      <c r="F1370" s="96"/>
    </row>
    <row r="1371" spans="1:6" ht="13.5">
      <c r="A1371" s="86"/>
      <c r="B1371" s="91"/>
      <c r="C1371" s="92"/>
      <c r="D1371" s="82"/>
      <c r="E1371" s="82"/>
      <c r="F1371" s="96"/>
    </row>
    <row r="1372" spans="1:6" ht="13.5">
      <c r="A1372" s="86"/>
      <c r="B1372" s="91"/>
      <c r="C1372" s="92"/>
      <c r="D1372" s="82"/>
      <c r="E1372" s="82"/>
      <c r="F1372" s="96"/>
    </row>
    <row r="1373" spans="1:6" ht="13.5">
      <c r="A1373" s="86"/>
      <c r="B1373" s="91"/>
      <c r="C1373" s="92"/>
      <c r="D1373" s="82"/>
      <c r="E1373" s="82"/>
      <c r="F1373" s="96"/>
    </row>
    <row r="1374" spans="1:6" ht="13.5">
      <c r="A1374" s="86"/>
      <c r="B1374" s="91"/>
      <c r="C1374" s="92"/>
      <c r="D1374" s="82"/>
      <c r="E1374" s="82"/>
      <c r="F1374" s="96"/>
    </row>
    <row r="1375" spans="1:6" ht="13.5">
      <c r="A1375" s="86"/>
      <c r="B1375" s="91"/>
      <c r="C1375" s="92"/>
      <c r="D1375" s="82"/>
      <c r="E1375" s="82"/>
      <c r="F1375" s="96"/>
    </row>
    <row r="1376" spans="1:6" ht="13.5">
      <c r="A1376" s="86"/>
      <c r="B1376" s="91"/>
      <c r="C1376" s="92"/>
      <c r="D1376" s="82"/>
      <c r="E1376" s="82"/>
      <c r="F1376" s="96"/>
    </row>
    <row r="1377" spans="1:6" ht="13.5">
      <c r="A1377" s="86"/>
      <c r="B1377" s="91"/>
      <c r="C1377" s="92"/>
      <c r="D1377" s="82"/>
      <c r="E1377" s="82"/>
      <c r="F1377" s="96"/>
    </row>
    <row r="1378" spans="1:6" ht="13.5">
      <c r="A1378" s="86"/>
      <c r="B1378" s="91"/>
      <c r="C1378" s="92"/>
      <c r="D1378" s="82"/>
      <c r="E1378" s="82"/>
      <c r="F1378" s="96"/>
    </row>
    <row r="1379" spans="1:6" ht="13.5">
      <c r="A1379" s="86"/>
      <c r="B1379" s="91"/>
      <c r="C1379" s="92"/>
      <c r="D1379" s="82"/>
      <c r="E1379" s="82"/>
      <c r="F1379" s="96"/>
    </row>
    <row r="1380" spans="1:6" ht="13.5">
      <c r="A1380" s="86"/>
      <c r="B1380" s="91"/>
      <c r="C1380" s="92"/>
      <c r="D1380" s="82"/>
      <c r="E1380" s="82"/>
      <c r="F1380" s="96"/>
    </row>
    <row r="1381" spans="1:6" ht="13.5">
      <c r="A1381" s="86"/>
      <c r="B1381" s="91"/>
      <c r="C1381" s="92"/>
      <c r="D1381" s="82"/>
      <c r="E1381" s="82"/>
      <c r="F1381" s="96"/>
    </row>
    <row r="1382" spans="1:6" ht="13.5">
      <c r="A1382" s="86"/>
      <c r="B1382" s="91"/>
      <c r="C1382" s="92"/>
      <c r="D1382" s="82"/>
      <c r="E1382" s="82"/>
      <c r="F1382" s="96"/>
    </row>
    <row r="1383" spans="1:6" ht="13.5">
      <c r="A1383" s="86"/>
      <c r="B1383" s="91"/>
      <c r="C1383" s="92"/>
      <c r="D1383" s="82"/>
      <c r="E1383" s="82"/>
      <c r="F1383" s="96"/>
    </row>
    <row r="1384" spans="1:6" ht="13.5">
      <c r="A1384" s="86"/>
      <c r="B1384" s="91"/>
      <c r="C1384" s="92"/>
      <c r="D1384" s="82"/>
      <c r="E1384" s="82"/>
      <c r="F1384" s="96"/>
    </row>
    <row r="1385" spans="1:6" ht="13.5">
      <c r="A1385" s="86"/>
      <c r="B1385" s="91"/>
      <c r="C1385" s="92"/>
      <c r="D1385" s="82"/>
      <c r="E1385" s="82"/>
      <c r="F1385" s="96"/>
    </row>
    <row r="1386" spans="1:6" ht="13.5">
      <c r="A1386" s="86"/>
      <c r="B1386" s="91"/>
      <c r="C1386" s="92"/>
      <c r="D1386" s="82"/>
      <c r="E1386" s="82"/>
      <c r="F1386" s="96"/>
    </row>
    <row r="1387" spans="1:6" ht="13.5">
      <c r="A1387" s="86"/>
      <c r="B1387" s="91"/>
      <c r="C1387" s="92"/>
      <c r="D1387" s="82"/>
      <c r="E1387" s="82"/>
      <c r="F1387" s="96"/>
    </row>
    <row r="1388" spans="1:6" ht="13.5">
      <c r="A1388" s="86"/>
      <c r="B1388" s="91"/>
      <c r="C1388" s="92"/>
      <c r="D1388" s="82"/>
      <c r="E1388" s="82"/>
      <c r="F1388" s="96"/>
    </row>
    <row r="1389" spans="1:6" ht="13.5">
      <c r="A1389" s="86"/>
      <c r="B1389" s="91"/>
      <c r="C1389" s="92"/>
      <c r="D1389" s="82"/>
      <c r="E1389" s="82"/>
      <c r="F1389" s="96"/>
    </row>
    <row r="1390" spans="1:6" ht="13.5">
      <c r="A1390" s="86"/>
      <c r="B1390" s="91"/>
      <c r="C1390" s="92"/>
      <c r="D1390" s="82"/>
      <c r="E1390" s="82"/>
      <c r="F1390" s="96"/>
    </row>
    <row r="1391" spans="1:6" ht="13.5">
      <c r="A1391" s="86"/>
      <c r="B1391" s="91"/>
      <c r="C1391" s="92"/>
      <c r="D1391" s="82"/>
      <c r="E1391" s="82"/>
      <c r="F1391" s="96"/>
    </row>
    <row r="1392" spans="1:6" ht="13.5">
      <c r="A1392" s="86"/>
      <c r="B1392" s="91"/>
      <c r="C1392" s="92"/>
      <c r="D1392" s="82"/>
      <c r="E1392" s="82"/>
      <c r="F1392" s="96"/>
    </row>
    <row r="1393" spans="1:6" ht="13.5">
      <c r="A1393" s="86"/>
      <c r="B1393" s="91"/>
      <c r="C1393" s="92"/>
      <c r="D1393" s="82"/>
      <c r="E1393" s="82"/>
      <c r="F1393" s="96"/>
    </row>
    <row r="1394" spans="1:6" ht="13.5">
      <c r="A1394" s="86"/>
      <c r="B1394" s="91"/>
      <c r="C1394" s="92"/>
      <c r="D1394" s="82"/>
      <c r="E1394" s="82"/>
      <c r="F1394" s="96"/>
    </row>
    <row r="1395" spans="1:6" ht="13.5">
      <c r="A1395" s="86"/>
      <c r="B1395" s="91"/>
      <c r="C1395" s="92"/>
      <c r="D1395" s="82"/>
      <c r="E1395" s="82"/>
      <c r="F1395" s="96"/>
    </row>
    <row r="1396" spans="1:6" ht="13.5">
      <c r="A1396" s="86"/>
      <c r="B1396" s="91"/>
      <c r="C1396" s="92"/>
      <c r="D1396" s="82"/>
      <c r="E1396" s="82"/>
      <c r="F1396" s="96"/>
    </row>
    <row r="1397" spans="1:6" ht="13.5">
      <c r="A1397" s="86"/>
      <c r="B1397" s="91"/>
      <c r="C1397" s="92"/>
      <c r="D1397" s="82"/>
      <c r="E1397" s="82"/>
      <c r="F1397" s="96"/>
    </row>
    <row r="1398" spans="1:6" ht="13.5">
      <c r="A1398" s="86"/>
      <c r="B1398" s="91"/>
      <c r="C1398" s="92"/>
      <c r="D1398" s="82"/>
      <c r="E1398" s="82"/>
      <c r="F1398" s="96"/>
    </row>
    <row r="1399" spans="1:6" ht="13.5">
      <c r="A1399" s="86"/>
      <c r="B1399" s="91"/>
      <c r="C1399" s="92"/>
      <c r="D1399" s="82"/>
      <c r="E1399" s="82"/>
      <c r="F1399" s="96"/>
    </row>
    <row r="1400" spans="1:6" ht="13.5">
      <c r="A1400" s="86"/>
      <c r="B1400" s="91"/>
      <c r="C1400" s="92"/>
      <c r="D1400" s="82"/>
      <c r="E1400" s="82"/>
      <c r="F1400" s="96"/>
    </row>
    <row r="1401" spans="1:6" ht="13.5">
      <c r="A1401" s="86"/>
      <c r="B1401" s="91"/>
      <c r="C1401" s="92"/>
      <c r="D1401" s="82"/>
      <c r="E1401" s="82"/>
      <c r="F1401" s="96"/>
    </row>
    <row r="1402" spans="1:6" ht="13.5">
      <c r="A1402" s="86"/>
      <c r="B1402" s="91"/>
      <c r="C1402" s="92"/>
      <c r="D1402" s="82"/>
      <c r="E1402" s="82"/>
      <c r="F1402" s="96"/>
    </row>
    <row r="1403" spans="1:6" ht="13.5">
      <c r="A1403" s="86"/>
      <c r="B1403" s="91"/>
      <c r="C1403" s="92"/>
      <c r="D1403" s="82"/>
      <c r="E1403" s="82"/>
      <c r="F1403" s="96"/>
    </row>
    <row r="1404" spans="1:6" ht="13.5">
      <c r="A1404" s="86"/>
      <c r="B1404" s="91"/>
      <c r="C1404" s="92"/>
      <c r="D1404" s="82"/>
      <c r="E1404" s="82"/>
      <c r="F1404" s="96"/>
    </row>
    <row r="1405" spans="1:6" ht="13.5">
      <c r="A1405" s="86"/>
      <c r="B1405" s="91"/>
      <c r="C1405" s="92"/>
      <c r="D1405" s="82"/>
      <c r="E1405" s="82"/>
      <c r="F1405" s="96"/>
    </row>
    <row r="1406" spans="1:6" ht="13.5">
      <c r="A1406" s="86"/>
      <c r="B1406" s="91"/>
      <c r="C1406" s="92"/>
      <c r="D1406" s="82"/>
      <c r="E1406" s="82"/>
      <c r="F1406" s="96"/>
    </row>
    <row r="1407" spans="1:6" ht="13.5">
      <c r="A1407" s="86"/>
      <c r="B1407" s="91"/>
      <c r="C1407" s="92"/>
      <c r="D1407" s="82"/>
      <c r="E1407" s="82"/>
      <c r="F1407" s="96"/>
    </row>
    <row r="1408" spans="1:6" ht="13.5">
      <c r="A1408" s="86"/>
      <c r="B1408" s="91"/>
      <c r="C1408" s="92"/>
      <c r="D1408" s="82"/>
      <c r="E1408" s="82"/>
      <c r="F1408" s="96"/>
    </row>
    <row r="1409" spans="1:6" ht="13.5">
      <c r="A1409" s="86"/>
      <c r="B1409" s="91"/>
      <c r="C1409" s="92"/>
      <c r="D1409" s="82"/>
      <c r="E1409" s="82"/>
      <c r="F1409" s="96"/>
    </row>
    <row r="1410" spans="1:6" ht="13.5">
      <c r="A1410" s="86"/>
      <c r="B1410" s="91"/>
      <c r="C1410" s="92"/>
      <c r="D1410" s="82"/>
      <c r="E1410" s="82"/>
      <c r="F1410" s="96"/>
    </row>
    <row r="1411" spans="1:6" ht="13.5">
      <c r="A1411" s="86"/>
      <c r="B1411" s="91"/>
      <c r="C1411" s="92"/>
      <c r="D1411" s="82"/>
      <c r="E1411" s="82"/>
      <c r="F1411" s="96"/>
    </row>
    <row r="1412" spans="1:6" ht="13.5">
      <c r="A1412" s="86"/>
      <c r="B1412" s="91"/>
      <c r="C1412" s="92"/>
      <c r="D1412" s="82"/>
      <c r="E1412" s="82"/>
      <c r="F1412" s="96"/>
    </row>
    <row r="1413" spans="1:6" ht="13.5">
      <c r="A1413" s="86"/>
      <c r="B1413" s="91"/>
      <c r="C1413" s="92"/>
      <c r="D1413" s="82"/>
      <c r="E1413" s="82"/>
      <c r="F1413" s="96"/>
    </row>
    <row r="1414" spans="1:6" ht="13.5">
      <c r="A1414" s="86"/>
      <c r="B1414" s="91"/>
      <c r="C1414" s="92"/>
      <c r="D1414" s="82"/>
      <c r="E1414" s="82"/>
      <c r="F1414" s="96"/>
    </row>
    <row r="1415" spans="1:6" ht="13.5">
      <c r="A1415" s="86"/>
      <c r="B1415" s="91"/>
      <c r="C1415" s="92"/>
      <c r="D1415" s="82"/>
      <c r="E1415" s="82"/>
      <c r="F1415" s="96"/>
    </row>
    <row r="1416" spans="1:6" ht="13.5">
      <c r="A1416" s="86"/>
      <c r="B1416" s="91"/>
      <c r="C1416" s="92"/>
      <c r="D1416" s="82"/>
      <c r="E1416" s="82"/>
      <c r="F1416" s="96"/>
    </row>
    <row r="1417" spans="1:6" ht="13.5">
      <c r="A1417" s="86"/>
      <c r="B1417" s="91"/>
      <c r="C1417" s="92"/>
      <c r="D1417" s="82"/>
      <c r="E1417" s="82"/>
      <c r="F1417" s="96"/>
    </row>
    <row r="1418" spans="1:6" ht="13.5">
      <c r="A1418" s="86"/>
      <c r="B1418" s="91"/>
      <c r="C1418" s="92"/>
      <c r="D1418" s="82"/>
      <c r="E1418" s="82"/>
      <c r="F1418" s="96"/>
    </row>
    <row r="1419" spans="1:6" ht="13.5">
      <c r="A1419" s="86"/>
      <c r="B1419" s="91"/>
      <c r="C1419" s="92"/>
      <c r="D1419" s="82"/>
      <c r="E1419" s="82"/>
      <c r="F1419" s="96"/>
    </row>
    <row r="1420" spans="1:6" ht="13.5">
      <c r="A1420" s="86"/>
      <c r="B1420" s="91"/>
      <c r="C1420" s="92"/>
      <c r="D1420" s="82"/>
      <c r="E1420" s="82"/>
      <c r="F1420" s="96"/>
    </row>
    <row r="1421" spans="1:6" ht="13.5">
      <c r="A1421" s="86"/>
      <c r="B1421" s="91"/>
      <c r="C1421" s="92"/>
      <c r="D1421" s="82"/>
      <c r="E1421" s="82"/>
      <c r="F1421" s="96"/>
    </row>
    <row r="1422" spans="1:6" ht="13.5">
      <c r="A1422" s="86"/>
      <c r="B1422" s="91"/>
      <c r="C1422" s="92"/>
      <c r="D1422" s="82"/>
      <c r="E1422" s="82"/>
      <c r="F1422" s="96"/>
    </row>
    <row r="1423" spans="1:6" ht="13.5">
      <c r="A1423" s="86"/>
      <c r="B1423" s="91"/>
      <c r="C1423" s="92"/>
      <c r="D1423" s="82"/>
      <c r="E1423" s="82"/>
      <c r="F1423" s="96"/>
    </row>
    <row r="1424" spans="1:6" ht="13.5">
      <c r="A1424" s="86"/>
      <c r="B1424" s="91"/>
      <c r="C1424" s="92"/>
      <c r="D1424" s="82"/>
      <c r="E1424" s="82"/>
      <c r="F1424" s="96"/>
    </row>
    <row r="1425" spans="1:6" ht="13.5">
      <c r="A1425" s="86"/>
      <c r="B1425" s="91"/>
      <c r="C1425" s="92"/>
      <c r="D1425" s="82"/>
      <c r="E1425" s="82"/>
      <c r="F1425" s="96"/>
    </row>
    <row r="1426" spans="1:6" ht="13.5">
      <c r="A1426" s="86"/>
      <c r="B1426" s="91"/>
      <c r="C1426" s="92"/>
      <c r="D1426" s="82"/>
      <c r="E1426" s="82"/>
      <c r="F1426" s="96"/>
    </row>
    <row r="1427" spans="1:6" ht="13.5">
      <c r="A1427" s="86"/>
      <c r="B1427" s="91"/>
      <c r="C1427" s="92"/>
      <c r="D1427" s="82"/>
      <c r="E1427" s="82"/>
      <c r="F1427" s="96"/>
    </row>
    <row r="1428" spans="1:6" ht="13.5">
      <c r="A1428" s="86"/>
      <c r="B1428" s="91"/>
      <c r="C1428" s="92"/>
      <c r="D1428" s="82"/>
      <c r="E1428" s="82"/>
      <c r="F1428" s="96"/>
    </row>
    <row r="1429" spans="1:6" ht="13.5">
      <c r="A1429" s="86"/>
      <c r="B1429" s="91"/>
      <c r="C1429" s="92"/>
      <c r="D1429" s="82"/>
      <c r="E1429" s="82"/>
      <c r="F1429" s="96"/>
    </row>
    <row r="1430" spans="1:6" ht="13.5">
      <c r="A1430" s="86"/>
      <c r="B1430" s="91"/>
      <c r="C1430" s="92"/>
      <c r="D1430" s="82"/>
      <c r="E1430" s="82"/>
      <c r="F1430" s="96"/>
    </row>
    <row r="1431" spans="1:6" ht="13.5">
      <c r="A1431" s="86"/>
      <c r="B1431" s="91"/>
      <c r="C1431" s="92"/>
      <c r="D1431" s="82"/>
      <c r="E1431" s="82"/>
      <c r="F1431" s="96"/>
    </row>
    <row r="1432" spans="1:6" ht="13.5">
      <c r="A1432" s="86"/>
      <c r="B1432" s="91"/>
      <c r="C1432" s="92"/>
      <c r="D1432" s="82"/>
      <c r="E1432" s="82"/>
      <c r="F1432" s="96"/>
    </row>
    <row r="1433" spans="1:6" ht="13.5">
      <c r="A1433" s="86"/>
      <c r="B1433" s="91"/>
      <c r="C1433" s="92"/>
      <c r="D1433" s="82"/>
      <c r="E1433" s="82"/>
      <c r="F1433" s="96"/>
    </row>
    <row r="1434" spans="1:6" ht="13.5">
      <c r="A1434" s="86"/>
      <c r="B1434" s="91"/>
      <c r="C1434" s="92"/>
      <c r="D1434" s="82"/>
      <c r="E1434" s="82"/>
      <c r="F1434" s="96"/>
    </row>
    <row r="1435" spans="1:6" ht="13.5">
      <c r="A1435" s="86"/>
      <c r="B1435" s="91"/>
      <c r="C1435" s="92"/>
      <c r="D1435" s="82"/>
      <c r="E1435" s="82"/>
      <c r="F1435" s="96"/>
    </row>
    <row r="1436" spans="1:6" ht="13.5">
      <c r="A1436" s="86"/>
      <c r="B1436" s="91"/>
      <c r="C1436" s="92"/>
      <c r="D1436" s="82"/>
      <c r="E1436" s="82"/>
      <c r="F1436" s="96"/>
    </row>
    <row r="1437" spans="1:6" ht="13.5">
      <c r="A1437" s="86"/>
      <c r="B1437" s="91"/>
      <c r="C1437" s="92"/>
      <c r="D1437" s="82"/>
      <c r="E1437" s="82"/>
      <c r="F1437" s="96"/>
    </row>
    <row r="1438" spans="1:6" ht="13.5">
      <c r="A1438" s="86"/>
      <c r="B1438" s="91"/>
      <c r="C1438" s="92"/>
      <c r="D1438" s="82"/>
      <c r="E1438" s="82"/>
      <c r="F1438" s="96"/>
    </row>
    <row r="1439" spans="1:6" ht="13.5">
      <c r="A1439" s="86"/>
      <c r="B1439" s="91"/>
      <c r="C1439" s="92"/>
      <c r="D1439" s="82"/>
      <c r="E1439" s="82"/>
      <c r="F1439" s="96"/>
    </row>
    <row r="1440" spans="1:6" ht="13.5">
      <c r="A1440" s="86"/>
      <c r="B1440" s="91"/>
      <c r="C1440" s="92"/>
      <c r="D1440" s="82"/>
      <c r="E1440" s="82"/>
      <c r="F1440" s="96"/>
    </row>
    <row r="1441" spans="1:6" ht="13.5">
      <c r="A1441" s="86"/>
      <c r="B1441" s="91"/>
      <c r="C1441" s="92"/>
      <c r="D1441" s="82"/>
      <c r="E1441" s="82"/>
      <c r="F1441" s="96"/>
    </row>
    <row r="1442" spans="1:6" ht="13.5">
      <c r="A1442" s="86"/>
      <c r="B1442" s="91"/>
      <c r="C1442" s="92"/>
      <c r="D1442" s="82"/>
      <c r="E1442" s="82"/>
      <c r="F1442" s="96"/>
    </row>
    <row r="1443" spans="1:6" ht="13.5">
      <c r="A1443" s="86"/>
      <c r="B1443" s="91"/>
      <c r="C1443" s="92"/>
      <c r="D1443" s="82"/>
      <c r="E1443" s="82"/>
      <c r="F1443" s="96"/>
    </row>
    <row r="1444" spans="1:6" ht="13.5">
      <c r="A1444" s="86"/>
      <c r="B1444" s="91"/>
      <c r="C1444" s="92"/>
      <c r="D1444" s="82"/>
      <c r="E1444" s="82"/>
      <c r="F1444" s="96"/>
    </row>
    <row r="1445" spans="1:6" ht="13.5">
      <c r="A1445" s="86"/>
      <c r="B1445" s="91"/>
      <c r="C1445" s="92"/>
      <c r="D1445" s="82"/>
      <c r="E1445" s="82"/>
      <c r="F1445" s="96"/>
    </row>
    <row r="1446" spans="1:6" ht="13.5">
      <c r="A1446" s="86"/>
      <c r="B1446" s="91"/>
      <c r="C1446" s="92"/>
      <c r="D1446" s="82"/>
      <c r="E1446" s="82"/>
      <c r="F1446" s="96"/>
    </row>
    <row r="1447" spans="1:6" ht="13.5">
      <c r="A1447" s="86"/>
      <c r="B1447" s="91"/>
      <c r="C1447" s="92"/>
      <c r="D1447" s="82"/>
      <c r="E1447" s="82"/>
      <c r="F1447" s="96"/>
    </row>
    <row r="1448" spans="1:6" ht="13.5">
      <c r="A1448" s="86"/>
      <c r="B1448" s="91"/>
      <c r="C1448" s="92"/>
      <c r="D1448" s="82"/>
      <c r="E1448" s="82"/>
      <c r="F1448" s="96"/>
    </row>
    <row r="1449" spans="1:6" ht="13.5">
      <c r="A1449" s="86"/>
      <c r="B1449" s="91"/>
      <c r="C1449" s="92"/>
      <c r="D1449" s="82"/>
      <c r="E1449" s="82"/>
      <c r="F1449" s="96"/>
    </row>
    <row r="1450" spans="1:6" ht="13.5">
      <c r="A1450" s="86"/>
      <c r="B1450" s="91"/>
      <c r="C1450" s="92"/>
      <c r="D1450" s="82"/>
      <c r="E1450" s="82"/>
      <c r="F1450" s="96"/>
    </row>
    <row r="1451" spans="1:6" ht="13.5">
      <c r="A1451" s="86"/>
      <c r="B1451" s="91"/>
      <c r="C1451" s="92"/>
      <c r="D1451" s="82"/>
      <c r="E1451" s="82"/>
      <c r="F1451" s="96"/>
    </row>
    <row r="1452" spans="1:6" ht="13.5">
      <c r="A1452" s="86"/>
      <c r="B1452" s="91"/>
      <c r="C1452" s="92"/>
      <c r="D1452" s="82"/>
      <c r="E1452" s="82"/>
      <c r="F1452" s="96"/>
    </row>
    <row r="1453" spans="1:6" ht="13.5">
      <c r="A1453" s="86"/>
      <c r="B1453" s="91"/>
      <c r="C1453" s="92"/>
      <c r="D1453" s="82"/>
      <c r="E1453" s="82"/>
      <c r="F1453" s="96"/>
    </row>
    <row r="1454" spans="1:6" ht="13.5">
      <c r="A1454" s="86"/>
      <c r="B1454" s="91"/>
      <c r="C1454" s="92"/>
      <c r="D1454" s="82"/>
      <c r="E1454" s="82"/>
      <c r="F1454" s="96"/>
    </row>
    <row r="1455" spans="1:6" ht="13.5">
      <c r="A1455" s="86"/>
      <c r="B1455" s="91"/>
      <c r="C1455" s="92"/>
      <c r="D1455" s="82"/>
      <c r="E1455" s="82"/>
      <c r="F1455" s="96"/>
    </row>
    <row r="1456" spans="1:6" ht="13.5">
      <c r="A1456" s="86"/>
      <c r="B1456" s="91"/>
      <c r="C1456" s="92"/>
      <c r="D1456" s="82"/>
      <c r="E1456" s="82"/>
      <c r="F1456" s="96"/>
    </row>
    <row r="1457" spans="1:6" ht="13.5">
      <c r="A1457" s="86"/>
      <c r="B1457" s="91"/>
      <c r="C1457" s="92"/>
      <c r="D1457" s="82"/>
      <c r="E1457" s="82"/>
      <c r="F1457" s="96"/>
    </row>
    <row r="1458" spans="1:6" ht="13.5">
      <c r="A1458" s="86"/>
      <c r="B1458" s="91"/>
      <c r="C1458" s="92"/>
      <c r="D1458" s="82"/>
      <c r="E1458" s="82"/>
      <c r="F1458" s="96"/>
    </row>
    <row r="1459" spans="1:6" ht="13.5">
      <c r="A1459" s="86"/>
      <c r="B1459" s="91"/>
      <c r="C1459" s="92"/>
      <c r="D1459" s="82"/>
      <c r="E1459" s="82"/>
      <c r="F1459" s="96"/>
    </row>
    <row r="1460" spans="1:6" ht="13.5">
      <c r="A1460" s="86"/>
      <c r="B1460" s="91"/>
      <c r="C1460" s="92"/>
      <c r="D1460" s="82"/>
      <c r="E1460" s="82"/>
      <c r="F1460" s="96"/>
    </row>
    <row r="1461" spans="1:6" ht="13.5">
      <c r="A1461" s="86"/>
      <c r="B1461" s="91"/>
      <c r="C1461" s="92"/>
      <c r="D1461" s="82"/>
      <c r="E1461" s="82"/>
      <c r="F1461" s="96"/>
    </row>
    <row r="1462" spans="1:6" ht="13.5">
      <c r="A1462" s="86"/>
      <c r="B1462" s="91"/>
      <c r="C1462" s="92"/>
      <c r="D1462" s="82"/>
      <c r="E1462" s="82"/>
      <c r="F1462" s="96"/>
    </row>
    <row r="1463" spans="1:6" ht="13.5">
      <c r="A1463" s="86"/>
      <c r="B1463" s="91"/>
      <c r="C1463" s="92"/>
      <c r="D1463" s="82"/>
      <c r="E1463" s="82"/>
      <c r="F1463" s="96"/>
    </row>
    <row r="1464" spans="1:6" ht="13.5">
      <c r="A1464" s="86"/>
      <c r="B1464" s="91"/>
      <c r="C1464" s="92"/>
      <c r="D1464" s="82"/>
      <c r="E1464" s="82"/>
      <c r="F1464" s="96"/>
    </row>
    <row r="1465" spans="1:6" ht="13.5">
      <c r="A1465" s="86"/>
      <c r="B1465" s="91"/>
      <c r="C1465" s="92"/>
      <c r="D1465" s="82"/>
      <c r="E1465" s="82"/>
      <c r="F1465" s="96"/>
    </row>
    <row r="1466" spans="1:6" ht="13.5">
      <c r="A1466" s="86"/>
      <c r="B1466" s="91"/>
      <c r="C1466" s="92"/>
      <c r="D1466" s="82"/>
      <c r="E1466" s="82"/>
      <c r="F1466" s="96"/>
    </row>
    <row r="1467" spans="1:6" ht="13.5">
      <c r="A1467" s="86"/>
      <c r="B1467" s="91"/>
      <c r="C1467" s="92"/>
      <c r="D1467" s="82"/>
      <c r="E1467" s="82"/>
      <c r="F1467" s="96"/>
    </row>
    <row r="1468" spans="1:6" ht="13.5">
      <c r="A1468" s="86"/>
      <c r="B1468" s="91"/>
      <c r="C1468" s="92"/>
      <c r="D1468" s="82"/>
      <c r="E1468" s="82"/>
      <c r="F1468" s="96"/>
    </row>
    <row r="1469" spans="1:6" ht="13.5">
      <c r="A1469" s="86"/>
      <c r="B1469" s="91"/>
      <c r="C1469" s="92"/>
      <c r="D1469" s="82"/>
      <c r="E1469" s="82"/>
      <c r="F1469" s="96"/>
    </row>
    <row r="1470" spans="1:6" ht="13.5">
      <c r="A1470" s="86"/>
      <c r="B1470" s="91"/>
      <c r="C1470" s="92"/>
      <c r="D1470" s="82"/>
      <c r="E1470" s="82"/>
      <c r="F1470" s="96"/>
    </row>
    <row r="1471" spans="1:6" ht="13.5">
      <c r="A1471" s="86"/>
      <c r="B1471" s="91"/>
      <c r="C1471" s="92"/>
      <c r="D1471" s="82"/>
      <c r="E1471" s="82"/>
      <c r="F1471" s="96"/>
    </row>
    <row r="1472" spans="1:6" ht="13.5">
      <c r="A1472" s="86"/>
      <c r="B1472" s="91"/>
      <c r="C1472" s="92"/>
      <c r="D1472" s="82"/>
      <c r="E1472" s="82"/>
      <c r="F1472" s="96"/>
    </row>
    <row r="1473" spans="1:6" ht="13.5">
      <c r="A1473" s="86"/>
      <c r="B1473" s="91"/>
      <c r="C1473" s="92"/>
      <c r="D1473" s="82"/>
      <c r="E1473" s="82"/>
      <c r="F1473" s="96"/>
    </row>
    <row r="1474" spans="1:6" ht="13.5">
      <c r="A1474" s="86"/>
      <c r="B1474" s="91"/>
      <c r="C1474" s="92"/>
      <c r="D1474" s="82"/>
      <c r="E1474" s="82"/>
      <c r="F1474" s="96"/>
    </row>
    <row r="1475" spans="1:6" ht="13.5">
      <c r="A1475" s="86"/>
      <c r="B1475" s="91"/>
      <c r="C1475" s="92"/>
      <c r="D1475" s="82"/>
      <c r="E1475" s="82"/>
      <c r="F1475" s="96"/>
    </row>
    <row r="1476" spans="1:6" ht="13.5">
      <c r="A1476" s="86"/>
      <c r="B1476" s="91"/>
      <c r="C1476" s="92"/>
      <c r="D1476" s="82"/>
      <c r="E1476" s="82"/>
      <c r="F1476" s="96"/>
    </row>
    <row r="1477" spans="1:6" ht="13.5">
      <c r="A1477" s="86"/>
      <c r="B1477" s="91"/>
      <c r="C1477" s="92"/>
      <c r="D1477" s="82"/>
      <c r="E1477" s="82"/>
      <c r="F1477" s="96"/>
    </row>
    <row r="1478" spans="1:6" ht="13.5">
      <c r="A1478" s="86"/>
      <c r="B1478" s="91"/>
      <c r="C1478" s="92"/>
      <c r="D1478" s="82"/>
      <c r="E1478" s="82"/>
      <c r="F1478" s="96"/>
    </row>
    <row r="1479" spans="1:6" ht="13.5">
      <c r="A1479" s="86"/>
      <c r="B1479" s="91"/>
      <c r="C1479" s="92"/>
      <c r="D1479" s="82"/>
      <c r="E1479" s="82"/>
      <c r="F1479" s="96"/>
    </row>
    <row r="1480" spans="1:6" ht="13.5">
      <c r="A1480" s="86"/>
      <c r="B1480" s="91"/>
      <c r="C1480" s="92"/>
      <c r="D1480" s="82"/>
      <c r="E1480" s="82"/>
      <c r="F1480" s="96"/>
    </row>
    <row r="1481" spans="1:6" ht="13.5">
      <c r="A1481" s="86"/>
      <c r="B1481" s="91"/>
      <c r="C1481" s="92"/>
      <c r="D1481" s="82"/>
      <c r="E1481" s="82"/>
      <c r="F1481" s="96"/>
    </row>
    <row r="1482" spans="1:6" ht="13.5">
      <c r="A1482" s="86"/>
      <c r="B1482" s="91"/>
      <c r="C1482" s="92"/>
      <c r="D1482" s="82"/>
      <c r="E1482" s="82"/>
      <c r="F1482" s="96"/>
    </row>
    <row r="1483" spans="1:6" ht="13.5">
      <c r="A1483" s="86"/>
      <c r="B1483" s="91"/>
      <c r="C1483" s="92"/>
      <c r="D1483" s="82"/>
      <c r="E1483" s="82"/>
      <c r="F1483" s="96"/>
    </row>
    <row r="1484" spans="1:6" ht="13.5">
      <c r="A1484" s="86"/>
      <c r="B1484" s="91"/>
      <c r="C1484" s="92"/>
      <c r="D1484" s="82"/>
      <c r="E1484" s="82"/>
      <c r="F1484" s="96"/>
    </row>
    <row r="1485" spans="1:6" ht="13.5">
      <c r="A1485" s="86"/>
      <c r="B1485" s="91"/>
      <c r="C1485" s="92"/>
      <c r="D1485" s="82"/>
      <c r="E1485" s="82"/>
      <c r="F1485" s="96"/>
    </row>
    <row r="1486" spans="1:6" ht="13.5">
      <c r="A1486" s="86"/>
      <c r="B1486" s="91"/>
      <c r="C1486" s="92"/>
      <c r="D1486" s="82"/>
      <c r="E1486" s="82"/>
      <c r="F1486" s="96"/>
    </row>
    <row r="1487" spans="1:6" ht="13.5">
      <c r="A1487" s="86"/>
      <c r="B1487" s="91"/>
      <c r="C1487" s="92"/>
      <c r="D1487" s="82"/>
      <c r="E1487" s="82"/>
      <c r="F1487" s="96"/>
    </row>
    <row r="1488" spans="1:6" ht="13.5">
      <c r="A1488" s="86"/>
      <c r="B1488" s="91"/>
      <c r="C1488" s="92"/>
      <c r="D1488" s="82"/>
      <c r="E1488" s="82"/>
      <c r="F1488" s="96"/>
    </row>
    <row r="1489" spans="1:6" ht="13.5">
      <c r="A1489" s="86"/>
      <c r="B1489" s="91"/>
      <c r="C1489" s="92"/>
      <c r="D1489" s="82"/>
      <c r="E1489" s="82"/>
      <c r="F1489" s="96"/>
    </row>
    <row r="1490" spans="1:6" ht="13.5">
      <c r="A1490" s="86"/>
      <c r="B1490" s="91"/>
      <c r="C1490" s="92"/>
      <c r="D1490" s="82"/>
      <c r="E1490" s="82"/>
      <c r="F1490" s="96"/>
    </row>
    <row r="1491" spans="1:6" ht="13.5">
      <c r="A1491" s="86"/>
      <c r="B1491" s="91"/>
      <c r="C1491" s="92"/>
      <c r="D1491" s="82"/>
      <c r="E1491" s="82"/>
      <c r="F1491" s="96"/>
    </row>
    <row r="1492" spans="1:6" ht="13.5">
      <c r="A1492" s="86"/>
      <c r="B1492" s="91"/>
      <c r="C1492" s="92"/>
      <c r="D1492" s="82"/>
      <c r="E1492" s="82"/>
      <c r="F1492" s="96"/>
    </row>
    <row r="1493" spans="1:6" ht="13.5">
      <c r="A1493" s="86"/>
      <c r="B1493" s="91"/>
      <c r="C1493" s="92"/>
      <c r="D1493" s="82"/>
      <c r="E1493" s="82"/>
      <c r="F1493" s="96"/>
    </row>
    <row r="1494" spans="1:6" ht="13.5">
      <c r="A1494" s="86"/>
      <c r="B1494" s="91"/>
      <c r="C1494" s="92"/>
      <c r="D1494" s="82"/>
      <c r="E1494" s="82"/>
      <c r="F1494" s="96"/>
    </row>
    <row r="1495" spans="1:6" ht="13.5">
      <c r="A1495" s="86"/>
      <c r="B1495" s="91"/>
      <c r="C1495" s="92"/>
      <c r="D1495" s="82"/>
      <c r="E1495" s="82"/>
      <c r="F1495" s="96"/>
    </row>
    <row r="1496" spans="1:6" ht="13.5">
      <c r="A1496" s="86"/>
      <c r="B1496" s="91"/>
      <c r="C1496" s="92"/>
      <c r="D1496" s="82"/>
      <c r="E1496" s="82"/>
      <c r="F1496" s="96"/>
    </row>
    <row r="1497" spans="1:6" ht="13.5">
      <c r="A1497" s="86"/>
      <c r="B1497" s="91"/>
      <c r="C1497" s="92"/>
      <c r="D1497" s="82"/>
      <c r="E1497" s="82"/>
      <c r="F1497" s="96"/>
    </row>
    <row r="1498" spans="1:6" ht="13.5">
      <c r="A1498" s="86"/>
      <c r="B1498" s="91"/>
      <c r="C1498" s="92"/>
      <c r="D1498" s="82"/>
      <c r="E1498" s="82"/>
      <c r="F1498" s="96"/>
    </row>
    <row r="1499" spans="1:6" ht="13.5">
      <c r="A1499" s="86"/>
      <c r="B1499" s="91"/>
      <c r="C1499" s="92"/>
      <c r="D1499" s="82"/>
      <c r="E1499" s="82"/>
      <c r="F1499" s="96"/>
    </row>
    <row r="1500" spans="1:6" ht="13.5">
      <c r="A1500" s="86"/>
      <c r="B1500" s="91"/>
      <c r="C1500" s="92"/>
      <c r="D1500" s="82"/>
      <c r="E1500" s="82"/>
      <c r="F1500" s="96"/>
    </row>
    <row r="1501" spans="1:6" ht="13.5">
      <c r="A1501" s="86"/>
      <c r="B1501" s="91"/>
      <c r="C1501" s="92"/>
      <c r="D1501" s="82"/>
      <c r="E1501" s="82"/>
      <c r="F1501" s="96"/>
    </row>
    <row r="1502" spans="1:6" ht="13.5">
      <c r="A1502" s="86"/>
      <c r="B1502" s="91"/>
      <c r="C1502" s="92"/>
      <c r="D1502" s="82"/>
      <c r="E1502" s="82"/>
      <c r="F1502" s="96"/>
    </row>
    <row r="1503" spans="1:6" ht="13.5">
      <c r="A1503" s="86"/>
      <c r="B1503" s="91"/>
      <c r="C1503" s="92"/>
      <c r="D1503" s="82"/>
      <c r="E1503" s="82"/>
      <c r="F1503" s="96"/>
    </row>
    <row r="1504" spans="1:6" ht="13.5">
      <c r="A1504" s="86"/>
      <c r="B1504" s="91"/>
      <c r="C1504" s="92"/>
      <c r="D1504" s="82"/>
      <c r="E1504" s="82"/>
      <c r="F1504" s="96"/>
    </row>
    <row r="1505" spans="1:6" ht="13.5">
      <c r="A1505" s="86"/>
      <c r="B1505" s="91"/>
      <c r="C1505" s="92"/>
      <c r="D1505" s="82"/>
      <c r="E1505" s="82"/>
      <c r="F1505" s="96"/>
    </row>
    <row r="1506" spans="1:6" ht="13.5">
      <c r="A1506" s="86"/>
      <c r="B1506" s="91"/>
      <c r="C1506" s="92"/>
      <c r="D1506" s="82"/>
      <c r="E1506" s="82"/>
      <c r="F1506" s="96"/>
    </row>
    <row r="1507" spans="1:6" ht="13.5">
      <c r="A1507" s="86"/>
      <c r="B1507" s="91"/>
      <c r="C1507" s="92"/>
      <c r="D1507" s="82"/>
      <c r="E1507" s="82"/>
      <c r="F1507" s="96"/>
    </row>
    <row r="1508" spans="1:6" ht="13.5">
      <c r="A1508" s="86"/>
      <c r="B1508" s="91"/>
      <c r="C1508" s="92"/>
      <c r="D1508" s="82"/>
      <c r="E1508" s="82"/>
      <c r="F1508" s="96"/>
    </row>
    <row r="1509" spans="1:6" ht="13.5">
      <c r="A1509" s="86"/>
      <c r="B1509" s="91"/>
      <c r="C1509" s="92"/>
      <c r="D1509" s="82"/>
      <c r="E1509" s="82"/>
      <c r="F1509" s="96"/>
    </row>
    <row r="1510" spans="1:6" ht="13.5">
      <c r="A1510" s="86"/>
      <c r="B1510" s="91"/>
      <c r="C1510" s="92"/>
      <c r="D1510" s="82"/>
      <c r="E1510" s="82"/>
      <c r="F1510" s="96"/>
    </row>
    <row r="1511" spans="1:6" ht="13.5">
      <c r="A1511" s="86"/>
      <c r="B1511" s="91"/>
      <c r="C1511" s="92"/>
      <c r="D1511" s="82"/>
      <c r="E1511" s="82"/>
      <c r="F1511" s="96"/>
    </row>
    <row r="1512" spans="1:6" ht="13.5">
      <c r="A1512" s="86"/>
      <c r="B1512" s="91"/>
      <c r="C1512" s="92"/>
      <c r="D1512" s="82"/>
      <c r="E1512" s="82"/>
      <c r="F1512" s="96"/>
    </row>
    <row r="1513" spans="1:6" ht="13.5">
      <c r="A1513" s="86"/>
      <c r="B1513" s="91"/>
      <c r="C1513" s="92"/>
      <c r="D1513" s="82"/>
      <c r="E1513" s="82"/>
      <c r="F1513" s="96"/>
    </row>
    <row r="1514" spans="1:6" ht="13.5">
      <c r="A1514" s="86"/>
      <c r="B1514" s="91"/>
      <c r="C1514" s="92"/>
      <c r="D1514" s="82"/>
      <c r="E1514" s="82"/>
      <c r="F1514" s="96"/>
    </row>
    <row r="1515" spans="1:6" ht="13.5">
      <c r="A1515" s="86"/>
      <c r="B1515" s="91"/>
      <c r="C1515" s="92"/>
      <c r="D1515" s="82"/>
      <c r="E1515" s="82"/>
      <c r="F1515" s="96"/>
    </row>
    <row r="1516" spans="1:6" ht="13.5">
      <c r="A1516" s="86"/>
      <c r="B1516" s="91"/>
      <c r="C1516" s="92"/>
      <c r="D1516" s="82"/>
      <c r="E1516" s="82"/>
      <c r="F1516" s="96"/>
    </row>
    <row r="1517" spans="1:6" ht="13.5">
      <c r="A1517" s="86"/>
      <c r="B1517" s="91"/>
      <c r="C1517" s="92"/>
      <c r="D1517" s="82"/>
      <c r="E1517" s="82"/>
      <c r="F1517" s="96"/>
    </row>
    <row r="1518" spans="1:6" ht="13.5">
      <c r="A1518" s="86"/>
      <c r="B1518" s="91"/>
      <c r="C1518" s="92"/>
      <c r="D1518" s="82"/>
      <c r="E1518" s="82"/>
      <c r="F1518" s="96"/>
    </row>
    <row r="1519" spans="1:6" ht="13.5">
      <c r="A1519" s="86"/>
      <c r="B1519" s="91"/>
      <c r="C1519" s="92"/>
      <c r="D1519" s="82"/>
      <c r="E1519" s="82"/>
      <c r="F1519" s="96"/>
    </row>
    <row r="1520" spans="1:6" ht="13.5">
      <c r="A1520" s="86"/>
      <c r="B1520" s="91"/>
      <c r="C1520" s="92"/>
      <c r="D1520" s="82"/>
      <c r="E1520" s="82"/>
      <c r="F1520" s="96"/>
    </row>
    <row r="1521" spans="1:6" ht="13.5">
      <c r="A1521" s="86"/>
      <c r="B1521" s="91"/>
      <c r="C1521" s="92"/>
      <c r="D1521" s="82"/>
      <c r="E1521" s="82"/>
      <c r="F1521" s="96"/>
    </row>
    <row r="1522" spans="1:6" ht="13.5">
      <c r="A1522" s="86"/>
      <c r="B1522" s="91"/>
      <c r="C1522" s="92"/>
      <c r="D1522" s="82"/>
      <c r="E1522" s="82"/>
      <c r="F1522" s="96"/>
    </row>
    <row r="1523" spans="1:6" ht="13.5">
      <c r="A1523" s="86"/>
      <c r="B1523" s="91"/>
      <c r="C1523" s="92"/>
      <c r="D1523" s="82"/>
      <c r="E1523" s="82"/>
      <c r="F1523" s="96"/>
    </row>
    <row r="1524" spans="1:6" ht="13.5">
      <c r="A1524" s="86"/>
      <c r="B1524" s="91"/>
      <c r="C1524" s="92"/>
      <c r="D1524" s="82"/>
      <c r="E1524" s="82"/>
      <c r="F1524" s="96"/>
    </row>
    <row r="1525" spans="1:6" ht="13.5">
      <c r="A1525" s="86"/>
      <c r="B1525" s="91"/>
      <c r="C1525" s="92"/>
      <c r="D1525" s="82"/>
      <c r="E1525" s="82"/>
      <c r="F1525" s="96"/>
    </row>
    <row r="1526" spans="1:6" ht="13.5">
      <c r="A1526" s="86"/>
      <c r="B1526" s="91"/>
      <c r="C1526" s="92"/>
      <c r="D1526" s="82"/>
      <c r="E1526" s="82"/>
      <c r="F1526" s="96"/>
    </row>
    <row r="1527" spans="1:6" ht="13.5">
      <c r="A1527" s="86"/>
      <c r="B1527" s="91"/>
      <c r="C1527" s="92"/>
      <c r="D1527" s="82"/>
      <c r="E1527" s="82"/>
      <c r="F1527" s="96"/>
    </row>
    <row r="1528" spans="1:6" ht="13.5">
      <c r="A1528" s="86"/>
      <c r="B1528" s="91"/>
      <c r="C1528" s="92"/>
      <c r="D1528" s="82"/>
      <c r="E1528" s="82"/>
      <c r="F1528" s="96"/>
    </row>
    <row r="1529" spans="1:6" ht="13.5">
      <c r="A1529" s="86"/>
      <c r="B1529" s="91"/>
      <c r="C1529" s="92"/>
      <c r="D1529" s="82"/>
      <c r="E1529" s="82"/>
      <c r="F1529" s="96"/>
    </row>
    <row r="1530" spans="1:6" ht="13.5">
      <c r="A1530" s="86"/>
      <c r="B1530" s="91"/>
      <c r="C1530" s="92"/>
      <c r="D1530" s="82"/>
      <c r="E1530" s="82"/>
      <c r="F1530" s="96"/>
    </row>
    <row r="1531" spans="1:6" ht="13.5">
      <c r="A1531" s="86"/>
      <c r="B1531" s="91"/>
      <c r="C1531" s="92"/>
      <c r="D1531" s="82"/>
      <c r="E1531" s="82"/>
      <c r="F1531" s="96"/>
    </row>
    <row r="1532" spans="1:6" ht="13.5">
      <c r="A1532" s="86"/>
      <c r="B1532" s="91"/>
      <c r="C1532" s="92"/>
      <c r="D1532" s="82"/>
      <c r="E1532" s="82"/>
      <c r="F1532" s="96"/>
    </row>
    <row r="1533" spans="1:6" ht="13.5">
      <c r="A1533" s="86"/>
      <c r="B1533" s="91"/>
      <c r="C1533" s="92"/>
      <c r="D1533" s="82"/>
      <c r="E1533" s="82"/>
      <c r="F1533" s="96"/>
    </row>
    <row r="1534" spans="1:6" ht="13.5">
      <c r="A1534" s="86"/>
      <c r="B1534" s="91"/>
      <c r="C1534" s="92"/>
      <c r="D1534" s="82"/>
      <c r="E1534" s="82"/>
      <c r="F1534" s="96"/>
    </row>
    <row r="1535" spans="1:6" ht="13.5">
      <c r="A1535" s="86"/>
      <c r="B1535" s="91"/>
      <c r="C1535" s="92"/>
      <c r="D1535" s="82"/>
      <c r="E1535" s="82"/>
      <c r="F1535" s="96"/>
    </row>
    <row r="1536" spans="1:6" ht="13.5">
      <c r="A1536" s="86"/>
      <c r="B1536" s="91"/>
      <c r="C1536" s="92"/>
      <c r="D1536" s="82"/>
      <c r="E1536" s="82"/>
      <c r="F1536" s="96"/>
    </row>
    <row r="1537" spans="1:6" ht="13.5">
      <c r="A1537" s="86"/>
      <c r="B1537" s="91"/>
      <c r="C1537" s="92"/>
      <c r="D1537" s="82"/>
      <c r="E1537" s="82"/>
      <c r="F1537" s="96"/>
    </row>
    <row r="1538" spans="1:6" ht="13.5">
      <c r="A1538" s="86"/>
      <c r="B1538" s="91"/>
      <c r="C1538" s="92"/>
      <c r="D1538" s="82"/>
      <c r="E1538" s="82"/>
      <c r="F1538" s="96"/>
    </row>
    <row r="1539" spans="1:6" ht="13.5">
      <c r="A1539" s="86"/>
      <c r="B1539" s="91"/>
      <c r="C1539" s="92"/>
      <c r="D1539" s="82"/>
      <c r="E1539" s="82"/>
      <c r="F1539" s="96"/>
    </row>
    <row r="1540" spans="1:6" ht="13.5">
      <c r="A1540" s="86"/>
      <c r="B1540" s="91"/>
      <c r="C1540" s="92"/>
      <c r="D1540" s="82"/>
      <c r="E1540" s="82"/>
      <c r="F1540" s="96"/>
    </row>
    <row r="1541" spans="1:6" ht="13.5">
      <c r="A1541" s="86"/>
      <c r="B1541" s="91"/>
      <c r="C1541" s="92"/>
      <c r="D1541" s="82"/>
      <c r="E1541" s="82"/>
      <c r="F1541" s="96"/>
    </row>
    <row r="1542" spans="1:6" ht="13.5">
      <c r="A1542" s="86"/>
      <c r="B1542" s="91"/>
      <c r="C1542" s="92"/>
      <c r="D1542" s="82"/>
      <c r="E1542" s="82"/>
      <c r="F1542" s="96"/>
    </row>
    <row r="1543" spans="1:6" ht="13.5">
      <c r="A1543" s="86"/>
      <c r="B1543" s="91"/>
      <c r="C1543" s="92"/>
      <c r="D1543" s="82"/>
      <c r="E1543" s="82"/>
      <c r="F1543" s="96"/>
    </row>
    <row r="1544" spans="1:6" ht="13.5">
      <c r="A1544" s="86"/>
      <c r="B1544" s="91"/>
      <c r="C1544" s="92"/>
      <c r="D1544" s="82"/>
      <c r="E1544" s="82"/>
      <c r="F1544" s="96"/>
    </row>
    <row r="1545" spans="1:6" ht="13.5">
      <c r="A1545" s="86"/>
      <c r="B1545" s="91"/>
      <c r="C1545" s="92"/>
      <c r="D1545" s="82"/>
      <c r="E1545" s="82"/>
      <c r="F1545" s="96"/>
    </row>
    <row r="1546" spans="1:6" ht="13.5">
      <c r="A1546" s="86"/>
      <c r="B1546" s="91"/>
      <c r="C1546" s="92"/>
      <c r="D1546" s="82"/>
      <c r="E1546" s="82"/>
      <c r="F1546" s="96"/>
    </row>
    <row r="1547" spans="1:6" ht="13.5">
      <c r="A1547" s="86"/>
      <c r="B1547" s="91"/>
      <c r="C1547" s="92"/>
      <c r="D1547" s="82"/>
      <c r="E1547" s="82"/>
      <c r="F1547" s="96"/>
    </row>
    <row r="1548" spans="1:6" ht="13.5">
      <c r="A1548" s="86"/>
      <c r="B1548" s="91"/>
      <c r="C1548" s="92"/>
      <c r="D1548" s="82"/>
      <c r="E1548" s="82"/>
      <c r="F1548" s="96"/>
    </row>
    <row r="1549" spans="1:6" ht="13.5">
      <c r="A1549" s="86"/>
      <c r="B1549" s="91"/>
      <c r="C1549" s="92"/>
      <c r="D1549" s="82"/>
      <c r="E1549" s="82"/>
      <c r="F1549" s="96"/>
    </row>
    <row r="1550" spans="1:6" ht="13.5">
      <c r="A1550" s="86"/>
      <c r="B1550" s="91"/>
      <c r="C1550" s="92"/>
      <c r="D1550" s="82"/>
      <c r="E1550" s="82"/>
      <c r="F1550" s="96"/>
    </row>
    <row r="1551" spans="1:6" ht="13.5">
      <c r="A1551" s="86"/>
      <c r="B1551" s="91"/>
      <c r="C1551" s="92"/>
      <c r="D1551" s="82"/>
      <c r="E1551" s="82"/>
      <c r="F1551" s="96"/>
    </row>
    <row r="1552" spans="1:6" ht="13.5">
      <c r="A1552" s="86"/>
      <c r="B1552" s="91"/>
      <c r="C1552" s="92"/>
      <c r="D1552" s="82"/>
      <c r="E1552" s="82"/>
      <c r="F1552" s="96"/>
    </row>
    <row r="1553" spans="1:6" ht="13.5">
      <c r="A1553" s="86"/>
      <c r="B1553" s="91"/>
      <c r="C1553" s="92"/>
      <c r="D1553" s="82"/>
      <c r="E1553" s="82"/>
      <c r="F1553" s="96"/>
    </row>
    <row r="1554" spans="1:6" ht="13.5">
      <c r="A1554" s="86"/>
      <c r="B1554" s="91"/>
      <c r="C1554" s="92"/>
      <c r="D1554" s="82"/>
      <c r="E1554" s="82"/>
      <c r="F1554" s="96"/>
    </row>
    <row r="1555" spans="1:6" ht="13.5">
      <c r="A1555" s="86"/>
      <c r="B1555" s="91"/>
      <c r="C1555" s="92"/>
      <c r="D1555" s="82"/>
      <c r="E1555" s="82"/>
      <c r="F1555" s="96"/>
    </row>
    <row r="1556" spans="1:6" ht="13.5">
      <c r="A1556" s="86"/>
      <c r="B1556" s="91"/>
      <c r="C1556" s="92"/>
      <c r="D1556" s="82"/>
      <c r="E1556" s="82"/>
      <c r="F1556" s="96"/>
    </row>
    <row r="1557" spans="1:6" ht="13.5">
      <c r="A1557" s="86"/>
      <c r="B1557" s="91"/>
      <c r="C1557" s="92"/>
      <c r="D1557" s="82"/>
      <c r="E1557" s="82"/>
      <c r="F1557" s="96"/>
    </row>
    <row r="1558" spans="1:6" ht="13.5">
      <c r="A1558" s="86"/>
      <c r="B1558" s="91"/>
      <c r="C1558" s="92"/>
      <c r="D1558" s="82"/>
      <c r="E1558" s="82"/>
      <c r="F1558" s="96"/>
    </row>
    <row r="1559" spans="1:6" ht="13.5">
      <c r="A1559" s="86"/>
      <c r="B1559" s="91"/>
      <c r="C1559" s="92"/>
      <c r="D1559" s="82"/>
      <c r="E1559" s="82"/>
      <c r="F1559" s="96"/>
    </row>
    <row r="1560" spans="1:6" ht="13.5">
      <c r="A1560" s="86"/>
      <c r="B1560" s="91"/>
      <c r="C1560" s="92"/>
      <c r="D1560" s="82"/>
      <c r="E1560" s="82"/>
      <c r="F1560" s="96"/>
    </row>
    <row r="1561" spans="1:6" ht="13.5">
      <c r="A1561" s="86"/>
      <c r="B1561" s="91"/>
      <c r="C1561" s="92"/>
      <c r="D1561" s="82"/>
      <c r="E1561" s="82"/>
      <c r="F1561" s="96"/>
    </row>
    <row r="1562" spans="1:6" ht="13.5">
      <c r="A1562" s="86"/>
      <c r="B1562" s="91"/>
      <c r="C1562" s="92"/>
      <c r="D1562" s="82"/>
      <c r="E1562" s="82"/>
      <c r="F1562" s="96"/>
    </row>
    <row r="1563" spans="1:6" ht="13.5">
      <c r="A1563" s="86"/>
      <c r="B1563" s="91"/>
      <c r="C1563" s="92"/>
      <c r="D1563" s="82"/>
      <c r="E1563" s="82"/>
      <c r="F1563" s="96"/>
    </row>
    <row r="1564" spans="1:6" ht="13.5">
      <c r="A1564" s="86"/>
      <c r="B1564" s="91"/>
      <c r="C1564" s="92"/>
      <c r="D1564" s="82"/>
      <c r="E1564" s="82"/>
      <c r="F1564" s="96"/>
    </row>
    <row r="1565" spans="1:6" ht="13.5">
      <c r="A1565" s="86"/>
      <c r="B1565" s="91"/>
      <c r="C1565" s="92"/>
      <c r="D1565" s="82"/>
      <c r="E1565" s="82"/>
      <c r="F1565" s="96"/>
    </row>
    <row r="1566" spans="1:6" ht="13.5">
      <c r="A1566" s="86"/>
      <c r="B1566" s="91"/>
      <c r="C1566" s="92"/>
      <c r="D1566" s="82"/>
      <c r="E1566" s="82"/>
      <c r="F1566" s="96"/>
    </row>
    <row r="1567" spans="1:6" ht="13.5">
      <c r="A1567" s="86"/>
      <c r="B1567" s="91"/>
      <c r="C1567" s="92"/>
      <c r="D1567" s="82"/>
      <c r="E1567" s="82"/>
      <c r="F1567" s="96"/>
    </row>
    <row r="1568" spans="1:6" ht="13.5">
      <c r="A1568" s="86"/>
      <c r="B1568" s="91"/>
      <c r="C1568" s="92"/>
      <c r="D1568" s="82"/>
      <c r="E1568" s="82"/>
      <c r="F1568" s="96"/>
    </row>
    <row r="1569" spans="1:6" ht="13.5">
      <c r="A1569" s="86"/>
      <c r="B1569" s="91"/>
      <c r="C1569" s="92"/>
      <c r="D1569" s="82"/>
      <c r="E1569" s="82"/>
      <c r="F1569" s="96"/>
    </row>
    <row r="1570" spans="1:6" ht="13.5">
      <c r="A1570" s="86"/>
      <c r="B1570" s="91"/>
      <c r="C1570" s="92"/>
      <c r="D1570" s="82"/>
      <c r="E1570" s="82"/>
      <c r="F1570" s="96"/>
    </row>
    <row r="1571" spans="1:6" ht="13.5">
      <c r="A1571" s="86"/>
      <c r="B1571" s="91"/>
      <c r="C1571" s="92"/>
      <c r="D1571" s="82"/>
      <c r="E1571" s="82"/>
      <c r="F1571" s="96"/>
    </row>
    <row r="1572" spans="1:6" ht="13.5">
      <c r="A1572" s="86"/>
      <c r="B1572" s="91"/>
      <c r="C1572" s="92"/>
      <c r="D1572" s="82"/>
      <c r="E1572" s="82"/>
      <c r="F1572" s="96"/>
    </row>
    <row r="1573" spans="1:6" ht="13.5">
      <c r="A1573" s="86"/>
      <c r="B1573" s="91"/>
      <c r="C1573" s="92"/>
      <c r="D1573" s="82"/>
      <c r="E1573" s="82"/>
      <c r="F1573" s="96"/>
    </row>
    <row r="1574" spans="1:6" ht="13.5">
      <c r="A1574" s="86"/>
      <c r="B1574" s="91"/>
      <c r="C1574" s="92"/>
      <c r="D1574" s="82"/>
      <c r="E1574" s="82"/>
      <c r="F1574" s="96"/>
    </row>
    <row r="1575" spans="1:6" ht="13.5">
      <c r="A1575" s="86"/>
      <c r="B1575" s="91"/>
      <c r="C1575" s="92"/>
      <c r="D1575" s="82"/>
      <c r="E1575" s="82"/>
      <c r="F1575" s="96"/>
    </row>
    <row r="1576" spans="1:6" ht="13.5">
      <c r="A1576" s="86"/>
      <c r="B1576" s="91"/>
      <c r="C1576" s="92"/>
      <c r="D1576" s="82"/>
      <c r="E1576" s="82"/>
      <c r="F1576" s="96"/>
    </row>
    <row r="1577" spans="1:6" ht="13.5">
      <c r="A1577" s="86"/>
      <c r="B1577" s="91"/>
      <c r="C1577" s="92"/>
      <c r="D1577" s="82"/>
      <c r="E1577" s="82"/>
      <c r="F1577" s="96"/>
    </row>
    <row r="1578" spans="1:6" ht="13.5">
      <c r="A1578" s="86"/>
      <c r="B1578" s="91"/>
      <c r="C1578" s="92"/>
      <c r="D1578" s="82"/>
      <c r="E1578" s="82"/>
      <c r="F1578" s="96"/>
    </row>
    <row r="1579" spans="1:6" ht="13.5">
      <c r="A1579" s="86"/>
      <c r="B1579" s="91"/>
      <c r="C1579" s="92"/>
      <c r="D1579" s="82"/>
      <c r="E1579" s="82"/>
      <c r="F1579" s="96"/>
    </row>
    <row r="1580" spans="1:6" ht="13.5">
      <c r="A1580" s="86"/>
      <c r="B1580" s="91"/>
      <c r="C1580" s="92"/>
      <c r="D1580" s="82"/>
      <c r="E1580" s="82"/>
      <c r="F1580" s="96"/>
    </row>
    <row r="1581" spans="1:6" ht="13.5">
      <c r="A1581" s="86"/>
      <c r="B1581" s="91"/>
      <c r="C1581" s="92"/>
      <c r="D1581" s="82"/>
      <c r="E1581" s="82"/>
      <c r="F1581" s="96"/>
    </row>
    <row r="1582" spans="1:6" ht="13.5">
      <c r="A1582" s="86"/>
      <c r="B1582" s="91"/>
      <c r="C1582" s="92"/>
      <c r="D1582" s="82"/>
      <c r="E1582" s="82"/>
      <c r="F1582" s="96"/>
    </row>
    <row r="1583" spans="1:6" ht="13.5">
      <c r="A1583" s="86"/>
      <c r="B1583" s="91"/>
      <c r="C1583" s="92"/>
      <c r="D1583" s="82"/>
      <c r="E1583" s="82"/>
      <c r="F1583" s="96"/>
    </row>
    <row r="1584" spans="1:6" ht="13.5">
      <c r="A1584" s="86"/>
      <c r="B1584" s="91"/>
      <c r="C1584" s="92"/>
      <c r="D1584" s="82"/>
      <c r="E1584" s="82"/>
      <c r="F1584" s="96"/>
    </row>
    <row r="1585" spans="1:6" ht="13.5">
      <c r="A1585" s="86"/>
      <c r="B1585" s="91"/>
      <c r="C1585" s="92"/>
      <c r="D1585" s="82"/>
      <c r="E1585" s="82"/>
      <c r="F1585" s="96"/>
    </row>
    <row r="1586" spans="1:6" ht="13.5">
      <c r="A1586" s="86"/>
      <c r="B1586" s="91"/>
      <c r="C1586" s="92"/>
      <c r="D1586" s="82"/>
      <c r="E1586" s="82"/>
      <c r="F1586" s="96"/>
    </row>
    <row r="1587" spans="1:6" ht="13.5">
      <c r="A1587" s="86"/>
      <c r="B1587" s="91"/>
      <c r="C1587" s="92"/>
      <c r="D1587" s="82"/>
      <c r="E1587" s="82"/>
      <c r="F1587" s="96"/>
    </row>
    <row r="1588" spans="1:6" ht="13.5">
      <c r="A1588" s="86"/>
      <c r="B1588" s="91"/>
      <c r="C1588" s="92"/>
      <c r="D1588" s="82"/>
      <c r="E1588" s="82"/>
      <c r="F1588" s="96"/>
    </row>
    <row r="1589" spans="1:6" ht="13.5">
      <c r="A1589" s="86"/>
      <c r="B1589" s="91"/>
      <c r="C1589" s="92"/>
      <c r="D1589" s="82"/>
      <c r="E1589" s="82"/>
      <c r="F1589" s="96"/>
    </row>
    <row r="1590" spans="1:6" ht="13.5">
      <c r="A1590" s="86"/>
      <c r="B1590" s="91"/>
      <c r="C1590" s="92"/>
      <c r="D1590" s="82"/>
      <c r="E1590" s="82"/>
      <c r="F1590" s="96"/>
    </row>
    <row r="1591" spans="1:6" ht="13.5">
      <c r="A1591" s="86"/>
      <c r="B1591" s="91"/>
      <c r="C1591" s="92"/>
      <c r="D1591" s="82"/>
      <c r="E1591" s="82"/>
      <c r="F1591" s="96"/>
    </row>
    <row r="1592" spans="1:6" ht="13.5">
      <c r="A1592" s="86"/>
      <c r="B1592" s="91"/>
      <c r="C1592" s="92"/>
      <c r="D1592" s="82"/>
      <c r="E1592" s="82"/>
      <c r="F1592" s="96"/>
    </row>
    <row r="1593" spans="1:6" ht="13.5">
      <c r="A1593" s="86"/>
      <c r="B1593" s="91"/>
      <c r="C1593" s="92"/>
      <c r="D1593" s="82"/>
      <c r="E1593" s="82"/>
      <c r="F1593" s="96"/>
    </row>
    <row r="1594" spans="1:6" ht="13.5">
      <c r="A1594" s="86"/>
      <c r="B1594" s="91"/>
      <c r="C1594" s="92"/>
      <c r="D1594" s="82"/>
      <c r="E1594" s="82"/>
      <c r="F1594" s="96"/>
    </row>
    <row r="1595" spans="1:6" ht="13.5">
      <c r="A1595" s="86"/>
      <c r="B1595" s="91"/>
      <c r="C1595" s="92"/>
      <c r="D1595" s="82"/>
      <c r="E1595" s="82"/>
      <c r="F1595" s="96"/>
    </row>
    <row r="1596" spans="1:6" ht="13.5">
      <c r="A1596" s="86"/>
      <c r="B1596" s="91"/>
      <c r="C1596" s="92"/>
      <c r="D1596" s="82"/>
      <c r="E1596" s="82"/>
      <c r="F1596" s="96"/>
    </row>
    <row r="1597" spans="1:6" ht="13.5">
      <c r="A1597" s="86"/>
      <c r="B1597" s="91"/>
      <c r="C1597" s="92"/>
      <c r="D1597" s="82"/>
      <c r="E1597" s="82"/>
      <c r="F1597" s="96"/>
    </row>
    <row r="1598" spans="1:6" ht="13.5">
      <c r="A1598" s="86"/>
      <c r="B1598" s="91"/>
      <c r="C1598" s="92"/>
      <c r="D1598" s="82"/>
      <c r="E1598" s="82"/>
      <c r="F1598" s="96"/>
    </row>
    <row r="1599" spans="1:6" ht="13.5">
      <c r="A1599" s="86"/>
      <c r="B1599" s="91"/>
      <c r="C1599" s="92"/>
      <c r="D1599" s="82"/>
      <c r="E1599" s="82"/>
      <c r="F1599" s="96"/>
    </row>
    <row r="1600" spans="1:6" ht="13.5">
      <c r="A1600" s="86"/>
      <c r="B1600" s="91"/>
      <c r="C1600" s="92"/>
      <c r="D1600" s="82"/>
      <c r="E1600" s="82"/>
      <c r="F1600" s="96"/>
    </row>
    <row r="1601" spans="1:6" ht="13.5">
      <c r="A1601" s="86"/>
      <c r="B1601" s="91"/>
      <c r="C1601" s="92"/>
      <c r="D1601" s="82"/>
      <c r="E1601" s="82"/>
      <c r="F1601" s="96"/>
    </row>
    <row r="1602" spans="1:6" ht="13.5">
      <c r="A1602" s="86"/>
      <c r="B1602" s="91"/>
      <c r="C1602" s="92"/>
      <c r="D1602" s="82"/>
      <c r="E1602" s="82"/>
      <c r="F1602" s="96"/>
    </row>
    <row r="1603" spans="1:6" ht="13.5">
      <c r="A1603" s="86"/>
      <c r="B1603" s="91"/>
      <c r="C1603" s="92"/>
      <c r="D1603" s="82"/>
      <c r="E1603" s="82"/>
      <c r="F1603" s="96"/>
    </row>
    <row r="1604" spans="1:6" ht="13.5">
      <c r="A1604" s="86"/>
      <c r="B1604" s="91"/>
      <c r="C1604" s="92"/>
      <c r="D1604" s="82"/>
      <c r="E1604" s="82"/>
      <c r="F1604" s="96"/>
    </row>
    <row r="1605" spans="1:6" ht="13.5">
      <c r="A1605" s="86"/>
      <c r="B1605" s="91"/>
      <c r="C1605" s="92"/>
      <c r="D1605" s="82"/>
      <c r="E1605" s="82"/>
      <c r="F1605" s="96"/>
    </row>
    <row r="1606" spans="1:6" ht="13.5">
      <c r="A1606" s="86"/>
      <c r="B1606" s="91"/>
      <c r="C1606" s="92"/>
      <c r="D1606" s="82"/>
      <c r="E1606" s="82"/>
      <c r="F1606" s="96"/>
    </row>
    <row r="1607" spans="1:6" ht="13.5">
      <c r="A1607" s="86"/>
      <c r="B1607" s="91"/>
      <c r="C1607" s="92"/>
      <c r="D1607" s="82"/>
      <c r="E1607" s="82"/>
      <c r="F1607" s="96"/>
    </row>
    <row r="1608" spans="1:6" ht="13.5">
      <c r="A1608" s="86"/>
      <c r="B1608" s="91"/>
      <c r="C1608" s="92"/>
      <c r="D1608" s="82"/>
      <c r="E1608" s="82"/>
      <c r="F1608" s="96"/>
    </row>
    <row r="1609" spans="1:6" ht="13.5">
      <c r="A1609" s="86"/>
      <c r="B1609" s="91"/>
      <c r="C1609" s="92"/>
      <c r="D1609" s="82"/>
      <c r="E1609" s="82"/>
      <c r="F1609" s="96"/>
    </row>
    <row r="1610" spans="1:6" ht="13.5">
      <c r="A1610" s="86"/>
      <c r="B1610" s="91"/>
      <c r="C1610" s="92"/>
      <c r="D1610" s="82"/>
      <c r="E1610" s="82"/>
      <c r="F1610" s="96"/>
    </row>
    <row r="1611" spans="1:6" ht="13.5">
      <c r="A1611" s="86"/>
      <c r="B1611" s="91"/>
      <c r="C1611" s="92"/>
      <c r="D1611" s="82"/>
      <c r="E1611" s="82"/>
      <c r="F1611" s="96"/>
    </row>
    <row r="1612" spans="1:6" ht="13.5">
      <c r="A1612" s="86"/>
      <c r="B1612" s="91"/>
      <c r="C1612" s="92"/>
      <c r="D1612" s="82"/>
      <c r="E1612" s="82"/>
      <c r="F1612" s="96"/>
    </row>
    <row r="1613" spans="1:6" ht="13.5">
      <c r="A1613" s="86"/>
      <c r="B1613" s="91"/>
      <c r="C1613" s="92"/>
      <c r="D1613" s="82"/>
      <c r="E1613" s="82"/>
      <c r="F1613" s="96"/>
    </row>
    <row r="1614" spans="1:6" ht="13.5">
      <c r="A1614" s="86"/>
      <c r="B1614" s="91"/>
      <c r="C1614" s="92"/>
      <c r="D1614" s="82"/>
      <c r="E1614" s="82"/>
      <c r="F1614" s="96"/>
    </row>
    <row r="1615" spans="1:6" ht="13.5">
      <c r="A1615" s="86"/>
      <c r="B1615" s="91"/>
      <c r="C1615" s="92"/>
      <c r="D1615" s="82"/>
      <c r="E1615" s="82"/>
      <c r="F1615" s="96"/>
    </row>
    <row r="1616" spans="1:6" ht="13.5">
      <c r="A1616" s="86"/>
      <c r="B1616" s="91"/>
      <c r="C1616" s="92"/>
      <c r="D1616" s="82"/>
      <c r="E1616" s="82"/>
      <c r="F1616" s="96"/>
    </row>
    <row r="1617" spans="1:6" ht="13.5">
      <c r="A1617" s="86"/>
      <c r="B1617" s="91"/>
      <c r="C1617" s="92"/>
      <c r="D1617" s="82"/>
      <c r="E1617" s="82"/>
      <c r="F1617" s="96"/>
    </row>
    <row r="1618" spans="1:6" ht="13.5">
      <c r="A1618" s="86"/>
      <c r="B1618" s="91"/>
      <c r="C1618" s="92"/>
      <c r="D1618" s="82"/>
      <c r="E1618" s="82"/>
      <c r="F1618" s="96"/>
    </row>
    <row r="1619" spans="1:6" ht="13.5">
      <c r="A1619" s="86"/>
      <c r="B1619" s="91"/>
      <c r="C1619" s="92"/>
      <c r="D1619" s="82"/>
      <c r="E1619" s="82"/>
      <c r="F1619" s="96"/>
    </row>
    <row r="1620" spans="1:6" ht="13.5">
      <c r="A1620" s="86"/>
      <c r="B1620" s="91"/>
      <c r="C1620" s="92"/>
      <c r="D1620" s="82"/>
      <c r="E1620" s="82"/>
      <c r="F1620" s="96"/>
    </row>
    <row r="1621" spans="1:6" ht="13.5">
      <c r="A1621" s="86"/>
      <c r="B1621" s="91"/>
      <c r="C1621" s="92"/>
      <c r="D1621" s="82"/>
      <c r="E1621" s="82"/>
      <c r="F1621" s="96"/>
    </row>
    <row r="1622" spans="1:6" ht="13.5">
      <c r="A1622" s="86"/>
      <c r="B1622" s="91"/>
      <c r="C1622" s="92"/>
      <c r="D1622" s="82"/>
      <c r="E1622" s="82"/>
      <c r="F1622" s="96"/>
    </row>
    <row r="1623" spans="1:6" ht="13.5">
      <c r="A1623" s="86"/>
      <c r="B1623" s="91"/>
      <c r="C1623" s="92"/>
      <c r="D1623" s="82"/>
      <c r="E1623" s="82"/>
      <c r="F1623" s="96"/>
    </row>
    <row r="1624" spans="1:6" ht="13.5">
      <c r="A1624" s="86"/>
      <c r="B1624" s="91"/>
      <c r="C1624" s="92"/>
      <c r="D1624" s="82"/>
      <c r="E1624" s="82"/>
      <c r="F1624" s="96"/>
    </row>
    <row r="1625" spans="1:6" ht="13.5">
      <c r="A1625" s="86"/>
      <c r="B1625" s="91"/>
      <c r="C1625" s="92"/>
      <c r="D1625" s="82"/>
      <c r="E1625" s="82"/>
      <c r="F1625" s="96"/>
    </row>
    <row r="1626" spans="1:6" ht="13.5">
      <c r="A1626" s="86"/>
      <c r="B1626" s="91"/>
      <c r="C1626" s="92"/>
      <c r="D1626" s="82"/>
      <c r="E1626" s="82"/>
      <c r="F1626" s="96"/>
    </row>
    <row r="1627" spans="1:6" ht="13.5">
      <c r="A1627" s="86"/>
      <c r="B1627" s="91"/>
      <c r="C1627" s="92"/>
      <c r="D1627" s="82"/>
      <c r="E1627" s="82"/>
      <c r="F1627" s="96"/>
    </row>
    <row r="1628" spans="1:6" ht="13.5">
      <c r="A1628" s="86"/>
      <c r="B1628" s="91"/>
      <c r="C1628" s="92"/>
      <c r="D1628" s="82"/>
      <c r="E1628" s="82"/>
      <c r="F1628" s="96"/>
    </row>
    <row r="1629" spans="1:6" ht="13.5">
      <c r="A1629" s="86"/>
      <c r="B1629" s="91"/>
      <c r="C1629" s="92"/>
      <c r="D1629" s="82"/>
      <c r="E1629" s="82"/>
      <c r="F1629" s="96"/>
    </row>
    <row r="1630" spans="1:6" ht="13.5">
      <c r="A1630" s="86"/>
      <c r="B1630" s="91"/>
      <c r="C1630" s="92"/>
      <c r="D1630" s="82"/>
      <c r="E1630" s="82"/>
      <c r="F1630" s="96"/>
    </row>
    <row r="1631" spans="1:6" ht="13.5">
      <c r="A1631" s="86"/>
      <c r="B1631" s="91"/>
      <c r="C1631" s="92"/>
      <c r="D1631" s="82"/>
      <c r="E1631" s="82"/>
      <c r="F1631" s="96"/>
    </row>
    <row r="1632" spans="1:6" ht="13.5">
      <c r="A1632" s="86"/>
      <c r="B1632" s="91"/>
      <c r="C1632" s="92"/>
      <c r="D1632" s="82"/>
      <c r="E1632" s="82"/>
      <c r="F1632" s="96"/>
    </row>
    <row r="1633" spans="1:6" ht="13.5">
      <c r="A1633" s="86"/>
      <c r="B1633" s="91"/>
      <c r="C1633" s="92"/>
      <c r="D1633" s="82"/>
      <c r="E1633" s="82"/>
      <c r="F1633" s="96"/>
    </row>
    <row r="1634" spans="1:6" ht="13.5">
      <c r="A1634" s="86"/>
      <c r="B1634" s="91"/>
      <c r="C1634" s="92"/>
      <c r="D1634" s="82"/>
      <c r="E1634" s="82"/>
      <c r="F1634" s="96"/>
    </row>
    <row r="1635" spans="1:6" ht="13.5">
      <c r="A1635" s="86"/>
      <c r="B1635" s="91"/>
      <c r="C1635" s="92"/>
      <c r="D1635" s="82"/>
      <c r="E1635" s="82"/>
      <c r="F1635" s="96"/>
    </row>
    <row r="1636" spans="1:6" ht="13.5">
      <c r="A1636" s="86"/>
      <c r="B1636" s="91"/>
      <c r="C1636" s="92"/>
      <c r="D1636" s="82"/>
      <c r="E1636" s="82"/>
      <c r="F1636" s="96"/>
    </row>
    <row r="1637" spans="1:6" ht="13.5">
      <c r="A1637" s="86"/>
      <c r="B1637" s="91"/>
      <c r="C1637" s="92"/>
      <c r="D1637" s="82"/>
      <c r="E1637" s="82"/>
      <c r="F1637" s="96"/>
    </row>
    <row r="1638" spans="1:6" ht="13.5">
      <c r="A1638" s="86"/>
      <c r="B1638" s="91"/>
      <c r="C1638" s="92"/>
      <c r="D1638" s="82"/>
      <c r="E1638" s="82"/>
      <c r="F1638" s="96"/>
    </row>
    <row r="1639" spans="1:6" ht="13.5">
      <c r="A1639" s="86"/>
      <c r="B1639" s="91"/>
      <c r="C1639" s="92"/>
      <c r="D1639" s="82"/>
      <c r="E1639" s="82"/>
      <c r="F1639" s="96"/>
    </row>
    <row r="1640" spans="1:6" ht="13.5">
      <c r="A1640" s="86"/>
      <c r="B1640" s="91"/>
      <c r="C1640" s="92"/>
      <c r="D1640" s="82"/>
      <c r="E1640" s="82"/>
      <c r="F1640" s="96"/>
    </row>
    <row r="1641" spans="1:6" ht="13.5">
      <c r="A1641" s="86"/>
      <c r="B1641" s="91"/>
      <c r="C1641" s="92"/>
      <c r="D1641" s="82"/>
      <c r="E1641" s="82"/>
      <c r="F1641" s="96"/>
    </row>
    <row r="1642" spans="1:6" ht="13.5">
      <c r="A1642" s="86"/>
      <c r="B1642" s="91"/>
      <c r="C1642" s="92"/>
      <c r="D1642" s="82"/>
      <c r="E1642" s="82"/>
      <c r="F1642" s="96"/>
    </row>
    <row r="1643" spans="1:6" ht="13.5">
      <c r="A1643" s="86"/>
      <c r="B1643" s="91"/>
      <c r="C1643" s="92"/>
      <c r="D1643" s="82"/>
      <c r="E1643" s="82"/>
      <c r="F1643" s="96"/>
    </row>
    <row r="1644" spans="1:6" ht="13.5">
      <c r="A1644" s="86"/>
      <c r="B1644" s="91"/>
      <c r="C1644" s="92"/>
      <c r="D1644" s="82"/>
      <c r="E1644" s="82"/>
      <c r="F1644" s="96"/>
    </row>
    <row r="1645" spans="1:6" ht="13.5">
      <c r="A1645" s="86"/>
      <c r="B1645" s="91"/>
      <c r="C1645" s="92"/>
      <c r="D1645" s="82"/>
      <c r="E1645" s="82"/>
      <c r="F1645" s="96"/>
    </row>
    <row r="1646" spans="1:6" ht="13.5">
      <c r="A1646" s="86"/>
      <c r="B1646" s="91"/>
      <c r="C1646" s="92"/>
      <c r="D1646" s="82"/>
      <c r="E1646" s="82"/>
      <c r="F1646" s="96"/>
    </row>
    <row r="1647" spans="1:6" ht="13.5">
      <c r="A1647" s="86"/>
      <c r="B1647" s="91"/>
      <c r="C1647" s="92"/>
      <c r="D1647" s="82"/>
      <c r="E1647" s="82"/>
      <c r="F1647" s="96"/>
    </row>
    <row r="1648" spans="1:6" ht="13.5">
      <c r="A1648" s="86"/>
      <c r="B1648" s="91"/>
      <c r="C1648" s="92"/>
      <c r="D1648" s="82"/>
      <c r="E1648" s="82"/>
      <c r="F1648" s="96"/>
    </row>
    <row r="1649" spans="1:6" ht="13.5">
      <c r="A1649" s="86"/>
      <c r="B1649" s="91"/>
      <c r="C1649" s="92"/>
      <c r="D1649" s="82"/>
      <c r="E1649" s="82"/>
      <c r="F1649" s="96"/>
    </row>
    <row r="1650" spans="1:6" ht="13.5">
      <c r="A1650" s="86"/>
      <c r="B1650" s="91"/>
      <c r="C1650" s="92"/>
      <c r="D1650" s="82"/>
      <c r="E1650" s="82"/>
      <c r="F1650" s="96"/>
    </row>
    <row r="1651" spans="1:6" ht="13.5">
      <c r="A1651" s="86"/>
      <c r="B1651" s="91"/>
      <c r="C1651" s="92"/>
      <c r="D1651" s="82"/>
      <c r="E1651" s="82"/>
      <c r="F1651" s="96"/>
    </row>
    <row r="1652" spans="1:6" ht="13.5">
      <c r="A1652" s="86"/>
      <c r="B1652" s="91"/>
      <c r="C1652" s="92"/>
      <c r="D1652" s="82"/>
      <c r="E1652" s="82"/>
      <c r="F1652" s="96"/>
    </row>
    <row r="1653" spans="1:6" ht="13.5">
      <c r="A1653" s="86"/>
      <c r="B1653" s="91"/>
      <c r="C1653" s="92"/>
      <c r="D1653" s="82"/>
      <c r="E1653" s="82"/>
      <c r="F1653" s="96"/>
    </row>
    <row r="1654" spans="1:6" ht="13.5">
      <c r="A1654" s="86"/>
      <c r="B1654" s="91"/>
      <c r="C1654" s="92"/>
      <c r="D1654" s="82"/>
      <c r="E1654" s="82"/>
      <c r="F1654" s="96"/>
    </row>
    <row r="1655" spans="1:6" ht="13.5">
      <c r="A1655" s="86"/>
      <c r="B1655" s="91"/>
      <c r="C1655" s="92"/>
      <c r="D1655" s="82"/>
      <c r="E1655" s="82"/>
      <c r="F1655" s="96"/>
    </row>
    <row r="1656" spans="1:6" ht="13.5">
      <c r="A1656" s="86"/>
      <c r="B1656" s="91"/>
      <c r="C1656" s="92"/>
      <c r="D1656" s="82"/>
      <c r="E1656" s="82"/>
      <c r="F1656" s="96"/>
    </row>
    <row r="1657" spans="1:6" ht="13.5">
      <c r="A1657" s="86"/>
      <c r="B1657" s="91"/>
      <c r="C1657" s="92"/>
      <c r="D1657" s="82"/>
      <c r="E1657" s="82"/>
      <c r="F1657" s="96"/>
    </row>
    <row r="1658" spans="1:6" ht="13.5">
      <c r="A1658" s="86"/>
      <c r="B1658" s="91"/>
      <c r="C1658" s="92"/>
      <c r="D1658" s="82"/>
      <c r="E1658" s="82"/>
      <c r="F1658" s="96"/>
    </row>
    <row r="1659" spans="1:6" ht="13.5">
      <c r="A1659" s="86"/>
      <c r="B1659" s="91"/>
      <c r="C1659" s="92"/>
      <c r="D1659" s="82"/>
      <c r="E1659" s="82"/>
      <c r="F1659" s="96"/>
    </row>
    <row r="1660" spans="1:6" ht="13.5">
      <c r="A1660" s="86"/>
      <c r="B1660" s="91"/>
      <c r="C1660" s="92"/>
      <c r="D1660" s="82"/>
      <c r="E1660" s="82"/>
      <c r="F1660" s="96"/>
    </row>
    <row r="1661" spans="1:6" ht="13.5">
      <c r="A1661" s="86"/>
      <c r="B1661" s="91"/>
      <c r="C1661" s="92"/>
      <c r="D1661" s="82"/>
      <c r="E1661" s="82"/>
      <c r="F1661" s="96"/>
    </row>
    <row r="1662" spans="1:6" ht="13.5">
      <c r="A1662" s="86"/>
      <c r="B1662" s="91"/>
      <c r="C1662" s="92"/>
      <c r="D1662" s="82"/>
      <c r="E1662" s="82"/>
      <c r="F1662" s="96"/>
    </row>
    <row r="1663" spans="1:6" ht="13.5">
      <c r="A1663" s="86"/>
      <c r="B1663" s="91"/>
      <c r="C1663" s="92"/>
      <c r="D1663" s="82"/>
      <c r="E1663" s="82"/>
      <c r="F1663" s="96"/>
    </row>
    <row r="1664" spans="1:6" ht="13.5">
      <c r="A1664" s="86"/>
      <c r="B1664" s="91"/>
      <c r="C1664" s="92"/>
      <c r="D1664" s="82"/>
      <c r="E1664" s="82"/>
      <c r="F1664" s="96"/>
    </row>
    <row r="1665" spans="1:6" ht="13.5">
      <c r="A1665" s="86"/>
      <c r="B1665" s="91"/>
      <c r="C1665" s="92"/>
      <c r="D1665" s="82"/>
      <c r="E1665" s="82"/>
      <c r="F1665" s="96"/>
    </row>
    <row r="1666" spans="1:6" ht="13.5">
      <c r="A1666" s="86"/>
      <c r="B1666" s="91"/>
      <c r="C1666" s="92"/>
      <c r="D1666" s="82"/>
      <c r="E1666" s="82"/>
      <c r="F1666" s="96"/>
    </row>
    <row r="1667" spans="1:6" ht="13.5">
      <c r="A1667" s="86"/>
      <c r="B1667" s="91"/>
      <c r="C1667" s="92"/>
      <c r="D1667" s="82"/>
      <c r="E1667" s="82"/>
      <c r="F1667" s="96"/>
    </row>
    <row r="1668" spans="1:6" ht="13.5">
      <c r="A1668" s="86"/>
      <c r="B1668" s="91"/>
      <c r="C1668" s="92"/>
      <c r="D1668" s="82"/>
      <c r="E1668" s="82"/>
      <c r="F1668" s="96"/>
    </row>
    <row r="1669" spans="1:6" ht="13.5">
      <c r="A1669" s="86"/>
      <c r="B1669" s="91"/>
      <c r="C1669" s="92"/>
      <c r="D1669" s="82"/>
      <c r="E1669" s="82"/>
      <c r="F1669" s="96"/>
    </row>
    <row r="1670" spans="1:6" ht="13.5">
      <c r="A1670" s="86"/>
      <c r="B1670" s="91"/>
      <c r="C1670" s="92"/>
      <c r="D1670" s="82"/>
      <c r="E1670" s="82"/>
      <c r="F1670" s="96"/>
    </row>
    <row r="1671" spans="1:6" ht="13.5">
      <c r="A1671" s="86"/>
      <c r="B1671" s="91"/>
      <c r="C1671" s="92"/>
      <c r="D1671" s="82"/>
      <c r="E1671" s="82"/>
      <c r="F1671" s="96"/>
    </row>
    <row r="1672" spans="1:6" ht="13.5">
      <c r="A1672" s="86"/>
      <c r="B1672" s="91"/>
      <c r="C1672" s="92"/>
      <c r="D1672" s="82"/>
      <c r="E1672" s="82"/>
      <c r="F1672" s="96"/>
    </row>
    <row r="1673" spans="1:6" ht="13.5">
      <c r="A1673" s="86"/>
      <c r="B1673" s="91"/>
      <c r="C1673" s="92"/>
      <c r="D1673" s="82"/>
      <c r="E1673" s="82"/>
      <c r="F1673" s="96"/>
    </row>
    <row r="1674" spans="1:6" ht="13.5">
      <c r="A1674" s="86"/>
      <c r="B1674" s="91"/>
      <c r="C1674" s="92"/>
      <c r="D1674" s="82"/>
      <c r="E1674" s="82"/>
      <c r="F1674" s="96"/>
    </row>
    <row r="1675" spans="1:6" ht="13.5">
      <c r="A1675" s="86"/>
      <c r="B1675" s="91"/>
      <c r="C1675" s="92"/>
      <c r="D1675" s="82"/>
      <c r="E1675" s="82"/>
      <c r="F1675" s="96"/>
    </row>
    <row r="1676" spans="1:6" ht="13.5">
      <c r="A1676" s="86"/>
      <c r="B1676" s="91"/>
      <c r="C1676" s="92"/>
      <c r="D1676" s="82"/>
      <c r="E1676" s="82"/>
      <c r="F1676" s="96"/>
    </row>
    <row r="1677" spans="1:6" ht="13.5">
      <c r="A1677" s="86"/>
      <c r="B1677" s="91"/>
      <c r="C1677" s="92"/>
      <c r="D1677" s="82"/>
      <c r="E1677" s="82"/>
      <c r="F1677" s="96"/>
    </row>
    <row r="1678" spans="1:6" ht="13.5">
      <c r="A1678" s="86"/>
      <c r="B1678" s="91"/>
      <c r="C1678" s="92"/>
      <c r="D1678" s="82"/>
      <c r="E1678" s="82"/>
      <c r="F1678" s="96"/>
    </row>
    <row r="1679" spans="1:6" ht="13.5">
      <c r="A1679" s="86"/>
      <c r="B1679" s="91"/>
      <c r="C1679" s="92"/>
      <c r="D1679" s="82"/>
      <c r="E1679" s="82"/>
      <c r="F1679" s="96"/>
    </row>
    <row r="1680" spans="1:6" ht="13.5">
      <c r="A1680" s="86"/>
      <c r="B1680" s="91"/>
      <c r="C1680" s="92"/>
      <c r="D1680" s="82"/>
      <c r="E1680" s="82"/>
      <c r="F1680" s="96"/>
    </row>
    <row r="1681" spans="1:6" ht="13.5">
      <c r="A1681" s="86"/>
      <c r="B1681" s="91"/>
      <c r="C1681" s="92"/>
      <c r="D1681" s="82"/>
      <c r="E1681" s="82"/>
      <c r="F1681" s="96"/>
    </row>
    <row r="1682" spans="1:6" ht="13.5">
      <c r="A1682" s="86"/>
      <c r="B1682" s="91"/>
      <c r="C1682" s="92"/>
      <c r="D1682" s="82"/>
      <c r="E1682" s="82"/>
      <c r="F1682" s="96"/>
    </row>
    <row r="1683" spans="1:6" ht="13.5">
      <c r="A1683" s="86"/>
      <c r="B1683" s="91"/>
      <c r="C1683" s="92"/>
      <c r="D1683" s="82"/>
      <c r="E1683" s="82"/>
      <c r="F1683" s="96"/>
    </row>
    <row r="1684" spans="1:6" ht="13.5">
      <c r="A1684" s="86"/>
      <c r="B1684" s="91"/>
      <c r="C1684" s="92"/>
      <c r="D1684" s="82"/>
      <c r="E1684" s="82"/>
      <c r="F1684" s="96"/>
    </row>
    <row r="1685" spans="1:6" ht="13.5">
      <c r="A1685" s="86"/>
      <c r="B1685" s="91"/>
      <c r="C1685" s="92"/>
      <c r="D1685" s="82"/>
      <c r="E1685" s="82"/>
      <c r="F1685" s="96"/>
    </row>
    <row r="1686" spans="1:6" ht="13.5">
      <c r="A1686" s="86"/>
      <c r="B1686" s="91"/>
      <c r="C1686" s="92"/>
      <c r="D1686" s="82"/>
      <c r="E1686" s="82"/>
      <c r="F1686" s="96"/>
    </row>
    <row r="1687" spans="1:6" ht="13.5">
      <c r="A1687" s="86"/>
      <c r="B1687" s="91"/>
      <c r="C1687" s="92"/>
      <c r="D1687" s="82"/>
      <c r="E1687" s="82"/>
      <c r="F1687" s="96"/>
    </row>
    <row r="1688" spans="1:6" ht="13.5">
      <c r="A1688" s="86"/>
      <c r="B1688" s="91"/>
      <c r="C1688" s="92"/>
      <c r="D1688" s="82"/>
      <c r="E1688" s="82"/>
      <c r="F1688" s="96"/>
    </row>
    <row r="1689" spans="1:6" ht="13.5">
      <c r="A1689" s="86"/>
      <c r="B1689" s="91"/>
      <c r="C1689" s="92"/>
      <c r="D1689" s="82"/>
      <c r="E1689" s="82"/>
      <c r="F1689" s="96"/>
    </row>
    <row r="1690" spans="1:6" ht="13.5">
      <c r="A1690" s="86"/>
      <c r="B1690" s="91"/>
      <c r="C1690" s="92"/>
      <c r="D1690" s="82"/>
      <c r="E1690" s="82"/>
      <c r="F1690" s="96"/>
    </row>
    <row r="1691" spans="1:6" ht="13.5">
      <c r="A1691" s="86"/>
      <c r="B1691" s="91"/>
      <c r="C1691" s="92"/>
      <c r="D1691" s="82"/>
      <c r="E1691" s="82"/>
      <c r="F1691" s="96"/>
    </row>
    <row r="1692" spans="1:6" ht="13.5">
      <c r="A1692" s="86"/>
      <c r="B1692" s="91"/>
      <c r="C1692" s="92"/>
      <c r="D1692" s="82"/>
      <c r="E1692" s="82"/>
      <c r="F1692" s="96"/>
    </row>
    <row r="1693" spans="1:6" ht="13.5">
      <c r="A1693" s="86"/>
      <c r="B1693" s="91"/>
      <c r="C1693" s="92"/>
      <c r="D1693" s="82"/>
      <c r="E1693" s="82"/>
      <c r="F1693" s="96"/>
    </row>
    <row r="1694" spans="1:6" ht="13.5">
      <c r="A1694" s="86"/>
      <c r="B1694" s="91"/>
      <c r="C1694" s="92"/>
      <c r="D1694" s="82"/>
      <c r="E1694" s="82"/>
      <c r="F1694" s="96"/>
    </row>
    <row r="1695" spans="1:6" ht="13.5">
      <c r="A1695" s="86"/>
      <c r="B1695" s="91"/>
      <c r="C1695" s="92"/>
      <c r="D1695" s="82"/>
      <c r="E1695" s="82"/>
      <c r="F1695" s="96"/>
    </row>
    <row r="1696" spans="1:6" ht="13.5">
      <c r="A1696" s="86"/>
      <c r="B1696" s="91"/>
      <c r="C1696" s="92"/>
      <c r="D1696" s="82"/>
      <c r="E1696" s="82"/>
      <c r="F1696" s="96"/>
    </row>
    <row r="1697" spans="1:6" ht="13.5">
      <c r="A1697" s="86"/>
      <c r="B1697" s="91"/>
      <c r="C1697" s="92"/>
      <c r="D1697" s="82"/>
      <c r="E1697" s="82"/>
      <c r="F1697" s="96"/>
    </row>
    <row r="1698" spans="1:6" ht="13.5">
      <c r="A1698" s="86"/>
      <c r="B1698" s="91"/>
      <c r="C1698" s="92"/>
      <c r="D1698" s="82"/>
      <c r="E1698" s="82"/>
      <c r="F1698" s="96"/>
    </row>
    <row r="1699" spans="1:6" ht="13.5">
      <c r="A1699" s="86"/>
      <c r="B1699" s="91"/>
      <c r="C1699" s="92"/>
      <c r="D1699" s="82"/>
      <c r="E1699" s="82"/>
      <c r="F1699" s="96"/>
    </row>
    <row r="1700" spans="1:6" ht="13.5">
      <c r="A1700" s="86"/>
      <c r="B1700" s="91"/>
      <c r="C1700" s="92"/>
      <c r="D1700" s="82"/>
      <c r="E1700" s="82"/>
      <c r="F1700" s="96"/>
    </row>
    <row r="1701" spans="1:6" ht="13.5">
      <c r="A1701" s="86"/>
      <c r="B1701" s="91"/>
      <c r="C1701" s="92"/>
      <c r="D1701" s="82"/>
      <c r="E1701" s="82"/>
      <c r="F1701" s="96"/>
    </row>
    <row r="1702" spans="1:6" ht="13.5">
      <c r="A1702" s="86"/>
      <c r="B1702" s="91"/>
      <c r="C1702" s="92"/>
      <c r="D1702" s="82"/>
      <c r="E1702" s="82"/>
      <c r="F1702" s="96"/>
    </row>
    <row r="1703" spans="1:6" ht="13.5">
      <c r="A1703" s="86"/>
      <c r="B1703" s="91"/>
      <c r="C1703" s="92"/>
      <c r="D1703" s="82"/>
      <c r="E1703" s="82"/>
      <c r="F1703" s="96"/>
    </row>
    <row r="1704" spans="1:6" ht="13.5">
      <c r="A1704" s="86"/>
      <c r="B1704" s="91"/>
      <c r="C1704" s="92"/>
      <c r="D1704" s="82"/>
      <c r="E1704" s="82"/>
      <c r="F1704" s="96"/>
    </row>
    <row r="1705" spans="1:6" ht="13.5">
      <c r="A1705" s="86"/>
      <c r="B1705" s="91"/>
      <c r="C1705" s="92"/>
      <c r="D1705" s="82"/>
      <c r="E1705" s="82"/>
      <c r="F1705" s="96"/>
    </row>
    <row r="1706" spans="1:6" ht="13.5">
      <c r="A1706" s="86"/>
      <c r="B1706" s="91"/>
      <c r="C1706" s="92"/>
      <c r="D1706" s="82"/>
      <c r="E1706" s="82"/>
      <c r="F1706" s="96"/>
    </row>
    <row r="1707" spans="1:6" ht="13.5">
      <c r="A1707" s="86"/>
      <c r="B1707" s="91"/>
      <c r="C1707" s="92"/>
      <c r="D1707" s="82"/>
      <c r="E1707" s="82"/>
      <c r="F1707" s="96"/>
    </row>
    <row r="1708" spans="1:6" ht="13.5">
      <c r="A1708" s="86"/>
      <c r="B1708" s="91"/>
      <c r="C1708" s="92"/>
      <c r="D1708" s="82"/>
      <c r="E1708" s="82"/>
      <c r="F1708" s="96"/>
    </row>
    <row r="1709" spans="1:6" ht="13.5">
      <c r="A1709" s="86"/>
      <c r="B1709" s="91"/>
      <c r="C1709" s="92"/>
      <c r="D1709" s="82"/>
      <c r="E1709" s="82"/>
      <c r="F1709" s="96"/>
    </row>
    <row r="1710" spans="1:6" ht="13.5">
      <c r="A1710" s="86"/>
      <c r="B1710" s="91"/>
      <c r="C1710" s="92"/>
      <c r="D1710" s="82"/>
      <c r="E1710" s="82"/>
      <c r="F1710" s="96"/>
    </row>
    <row r="1711" spans="1:6" ht="13.5">
      <c r="A1711" s="86"/>
      <c r="B1711" s="91"/>
      <c r="C1711" s="92"/>
      <c r="D1711" s="82"/>
      <c r="E1711" s="82"/>
      <c r="F1711" s="96"/>
    </row>
    <row r="1712" spans="1:6" ht="13.5">
      <c r="A1712" s="86"/>
      <c r="B1712" s="91"/>
      <c r="C1712" s="92"/>
      <c r="D1712" s="82"/>
      <c r="E1712" s="82"/>
      <c r="F1712" s="96"/>
    </row>
    <row r="1713" spans="1:6" ht="13.5">
      <c r="A1713" s="86"/>
      <c r="B1713" s="91"/>
      <c r="C1713" s="92"/>
      <c r="D1713" s="82"/>
      <c r="E1713" s="82"/>
      <c r="F1713" s="96"/>
    </row>
    <row r="1714" spans="1:6" ht="13.5">
      <c r="A1714" s="86"/>
      <c r="B1714" s="91"/>
      <c r="C1714" s="92"/>
      <c r="D1714" s="82"/>
      <c r="E1714" s="82"/>
      <c r="F1714" s="96"/>
    </row>
    <row r="1715" spans="1:6" ht="13.5">
      <c r="A1715" s="86"/>
      <c r="B1715" s="91"/>
      <c r="C1715" s="92"/>
      <c r="D1715" s="82"/>
      <c r="E1715" s="82"/>
      <c r="F1715" s="96"/>
    </row>
    <row r="1716" spans="1:6" ht="13.5">
      <c r="A1716" s="86"/>
      <c r="B1716" s="91"/>
      <c r="C1716" s="92"/>
      <c r="D1716" s="82"/>
      <c r="E1716" s="82"/>
      <c r="F1716" s="96"/>
    </row>
    <row r="1717" spans="1:6" ht="13.5">
      <c r="A1717" s="86"/>
      <c r="B1717" s="91"/>
      <c r="C1717" s="92"/>
      <c r="D1717" s="82"/>
      <c r="E1717" s="82"/>
      <c r="F1717" s="96"/>
    </row>
    <row r="1718" spans="1:6" ht="13.5">
      <c r="A1718" s="86"/>
      <c r="B1718" s="91"/>
      <c r="C1718" s="92"/>
      <c r="D1718" s="82"/>
      <c r="E1718" s="82"/>
      <c r="F1718" s="96"/>
    </row>
    <row r="1719" spans="1:6" ht="13.5">
      <c r="A1719" s="86"/>
      <c r="B1719" s="91"/>
      <c r="C1719" s="92"/>
      <c r="D1719" s="82"/>
      <c r="E1719" s="82"/>
      <c r="F1719" s="96"/>
    </row>
    <row r="1720" spans="1:6" ht="13.5">
      <c r="A1720" s="86"/>
      <c r="B1720" s="91"/>
      <c r="C1720" s="92"/>
      <c r="D1720" s="82"/>
      <c r="E1720" s="82"/>
      <c r="F1720" s="96"/>
    </row>
    <row r="1721" spans="1:6" ht="13.5">
      <c r="A1721" s="86"/>
      <c r="B1721" s="91"/>
      <c r="C1721" s="92"/>
      <c r="D1721" s="82"/>
      <c r="E1721" s="82"/>
      <c r="F1721" s="96"/>
    </row>
    <row r="1722" spans="1:6" ht="13.5">
      <c r="A1722" s="86"/>
      <c r="B1722" s="91"/>
      <c r="C1722" s="92"/>
      <c r="D1722" s="82"/>
      <c r="E1722" s="82"/>
      <c r="F1722" s="96"/>
    </row>
    <row r="1723" spans="1:6" ht="13.5">
      <c r="A1723" s="86"/>
      <c r="B1723" s="91"/>
      <c r="C1723" s="92"/>
      <c r="D1723" s="82"/>
      <c r="E1723" s="82"/>
      <c r="F1723" s="96"/>
    </row>
    <row r="1724" spans="1:6" ht="13.5">
      <c r="A1724" s="86"/>
      <c r="B1724" s="91"/>
      <c r="C1724" s="92"/>
      <c r="D1724" s="82"/>
      <c r="E1724" s="82"/>
      <c r="F1724" s="96"/>
    </row>
    <row r="1725" spans="1:6" ht="13.5">
      <c r="A1725" s="86"/>
      <c r="B1725" s="91"/>
      <c r="C1725" s="92"/>
      <c r="D1725" s="82"/>
      <c r="E1725" s="82"/>
      <c r="F1725" s="96"/>
    </row>
    <row r="1726" spans="1:6" ht="13.5">
      <c r="A1726" s="86"/>
      <c r="B1726" s="91"/>
      <c r="C1726" s="92"/>
      <c r="D1726" s="82"/>
      <c r="E1726" s="82"/>
      <c r="F1726" s="96"/>
    </row>
    <row r="1727" spans="1:6" ht="13.5">
      <c r="A1727" s="86"/>
      <c r="B1727" s="91"/>
      <c r="C1727" s="92"/>
      <c r="D1727" s="82"/>
      <c r="E1727" s="82"/>
      <c r="F1727" s="96"/>
    </row>
    <row r="1728" spans="1:6" ht="13.5">
      <c r="A1728" s="86"/>
      <c r="B1728" s="91"/>
      <c r="C1728" s="92"/>
      <c r="D1728" s="82"/>
      <c r="E1728" s="82"/>
      <c r="F1728" s="96"/>
    </row>
    <row r="1729" spans="1:6" ht="13.5">
      <c r="A1729" s="86"/>
      <c r="B1729" s="91"/>
      <c r="C1729" s="92"/>
      <c r="D1729" s="82"/>
      <c r="E1729" s="82"/>
      <c r="F1729" s="96"/>
    </row>
    <row r="1730" spans="1:6" ht="13.5">
      <c r="A1730" s="86"/>
      <c r="B1730" s="91"/>
      <c r="C1730" s="92"/>
      <c r="D1730" s="82"/>
      <c r="E1730" s="82"/>
      <c r="F1730" s="96"/>
    </row>
    <row r="1731" spans="1:6" ht="13.5">
      <c r="A1731" s="86"/>
      <c r="B1731" s="91"/>
      <c r="C1731" s="92"/>
      <c r="D1731" s="82"/>
      <c r="E1731" s="82"/>
      <c r="F1731" s="96"/>
    </row>
    <row r="1732" spans="1:6" ht="13.5">
      <c r="A1732" s="86"/>
      <c r="B1732" s="91"/>
      <c r="C1732" s="92"/>
      <c r="D1732" s="82"/>
      <c r="E1732" s="82"/>
      <c r="F1732" s="96"/>
    </row>
    <row r="1733" spans="1:6" ht="13.5">
      <c r="A1733" s="86"/>
      <c r="B1733" s="91"/>
      <c r="C1733" s="92"/>
      <c r="D1733" s="82"/>
      <c r="E1733" s="82"/>
      <c r="F1733" s="96"/>
    </row>
    <row r="1734" spans="1:6" ht="13.5">
      <c r="A1734" s="86"/>
      <c r="B1734" s="91"/>
      <c r="C1734" s="92"/>
      <c r="D1734" s="82"/>
      <c r="E1734" s="82"/>
      <c r="F1734" s="96"/>
    </row>
    <row r="1735" spans="1:6" ht="13.5">
      <c r="A1735" s="86"/>
      <c r="B1735" s="91"/>
      <c r="C1735" s="92"/>
      <c r="D1735" s="82"/>
      <c r="E1735" s="82"/>
      <c r="F1735" s="96"/>
    </row>
    <row r="1736" spans="1:6" ht="13.5">
      <c r="A1736" s="86"/>
      <c r="B1736" s="91"/>
      <c r="C1736" s="92"/>
      <c r="D1736" s="82"/>
      <c r="E1736" s="82"/>
      <c r="F1736" s="96"/>
    </row>
    <row r="1737" spans="1:6" ht="13.5">
      <c r="A1737" s="86"/>
      <c r="B1737" s="91"/>
      <c r="C1737" s="92"/>
      <c r="D1737" s="82"/>
      <c r="E1737" s="82"/>
      <c r="F1737" s="96"/>
    </row>
    <row r="1738" spans="1:6" ht="13.5">
      <c r="A1738" s="86"/>
      <c r="B1738" s="91"/>
      <c r="C1738" s="92"/>
      <c r="D1738" s="82"/>
      <c r="E1738" s="82"/>
      <c r="F1738" s="96"/>
    </row>
    <row r="1739" spans="1:6" ht="13.5">
      <c r="A1739" s="86"/>
      <c r="B1739" s="91"/>
      <c r="C1739" s="92"/>
      <c r="D1739" s="82"/>
      <c r="E1739" s="82"/>
      <c r="F1739" s="96"/>
    </row>
    <row r="1740" spans="1:6" ht="13.5">
      <c r="A1740" s="86"/>
      <c r="B1740" s="91"/>
      <c r="C1740" s="92"/>
      <c r="D1740" s="82"/>
      <c r="E1740" s="82"/>
      <c r="F1740" s="96"/>
    </row>
    <row r="1741" spans="1:6" ht="13.5">
      <c r="A1741" s="86"/>
      <c r="B1741" s="91"/>
      <c r="C1741" s="92"/>
      <c r="D1741" s="82"/>
      <c r="E1741" s="82"/>
      <c r="F1741" s="96"/>
    </row>
    <row r="1742" spans="1:6" ht="13.5">
      <c r="A1742" s="86"/>
      <c r="B1742" s="91"/>
      <c r="C1742" s="92"/>
      <c r="D1742" s="82"/>
      <c r="E1742" s="82"/>
      <c r="F1742" s="96"/>
    </row>
    <row r="1743" spans="1:6" ht="13.5">
      <c r="A1743" s="86"/>
      <c r="B1743" s="91"/>
      <c r="C1743" s="92"/>
      <c r="D1743" s="82"/>
      <c r="E1743" s="82"/>
      <c r="F1743" s="96"/>
    </row>
    <row r="1744" spans="1:6" ht="13.5">
      <c r="A1744" s="86"/>
      <c r="B1744" s="91"/>
      <c r="C1744" s="92"/>
      <c r="D1744" s="82"/>
      <c r="E1744" s="82"/>
      <c r="F1744" s="96"/>
    </row>
    <row r="1745" spans="1:6" ht="13.5">
      <c r="A1745" s="86"/>
      <c r="B1745" s="91"/>
      <c r="C1745" s="92"/>
      <c r="D1745" s="82"/>
      <c r="E1745" s="82"/>
      <c r="F1745" s="96"/>
    </row>
    <row r="1746" spans="1:6" ht="13.5">
      <c r="A1746" s="86"/>
      <c r="B1746" s="91"/>
      <c r="C1746" s="92"/>
      <c r="D1746" s="82"/>
      <c r="E1746" s="82"/>
      <c r="F1746" s="96"/>
    </row>
    <row r="1747" spans="1:6" ht="13.5">
      <c r="A1747" s="86"/>
      <c r="B1747" s="91"/>
      <c r="C1747" s="92"/>
      <c r="D1747" s="82"/>
      <c r="E1747" s="82"/>
      <c r="F1747" s="96"/>
    </row>
    <row r="1748" spans="1:6" ht="13.5">
      <c r="A1748" s="86"/>
      <c r="B1748" s="91"/>
      <c r="C1748" s="92"/>
      <c r="D1748" s="82"/>
      <c r="E1748" s="82"/>
      <c r="F1748" s="96"/>
    </row>
    <row r="1749" spans="1:6" ht="13.5">
      <c r="A1749" s="86"/>
      <c r="B1749" s="91"/>
      <c r="C1749" s="92"/>
      <c r="D1749" s="82"/>
      <c r="E1749" s="82"/>
      <c r="F1749" s="96"/>
    </row>
    <row r="1750" spans="1:6" ht="13.5">
      <c r="A1750" s="86"/>
      <c r="B1750" s="91"/>
      <c r="C1750" s="92"/>
      <c r="D1750" s="82"/>
      <c r="E1750" s="82"/>
      <c r="F1750" s="96"/>
    </row>
    <row r="1751" spans="1:6" ht="13.5">
      <c r="A1751" s="86"/>
      <c r="B1751" s="91"/>
      <c r="C1751" s="92"/>
      <c r="D1751" s="82"/>
      <c r="E1751" s="82"/>
      <c r="F1751" s="96"/>
    </row>
    <row r="1752" spans="1:6" ht="13.5">
      <c r="A1752" s="86"/>
      <c r="B1752" s="91"/>
      <c r="C1752" s="92"/>
      <c r="D1752" s="82"/>
      <c r="E1752" s="82"/>
      <c r="F1752" s="96"/>
    </row>
    <row r="1753" spans="1:6" ht="13.5">
      <c r="A1753" s="86"/>
      <c r="B1753" s="91"/>
      <c r="C1753" s="92"/>
      <c r="D1753" s="82"/>
      <c r="E1753" s="82"/>
      <c r="F1753" s="96"/>
    </row>
    <row r="1754" spans="1:6" ht="13.5">
      <c r="A1754" s="86"/>
      <c r="B1754" s="91"/>
      <c r="C1754" s="92"/>
      <c r="D1754" s="82"/>
      <c r="E1754" s="82"/>
      <c r="F1754" s="96"/>
    </row>
    <row r="1755" spans="1:6" ht="13.5">
      <c r="A1755" s="86"/>
      <c r="B1755" s="91"/>
      <c r="C1755" s="92"/>
      <c r="D1755" s="82"/>
      <c r="E1755" s="82"/>
      <c r="F1755" s="96"/>
    </row>
    <row r="1756" spans="1:6" ht="13.5">
      <c r="A1756" s="86"/>
      <c r="B1756" s="91"/>
      <c r="C1756" s="92"/>
      <c r="D1756" s="82"/>
      <c r="E1756" s="82"/>
      <c r="F1756" s="96"/>
    </row>
    <row r="1757" spans="1:6" ht="13.5">
      <c r="A1757" s="86"/>
      <c r="B1757" s="91"/>
      <c r="C1757" s="92"/>
      <c r="D1757" s="82"/>
      <c r="E1757" s="82"/>
      <c r="F1757" s="96"/>
    </row>
    <row r="1758" spans="1:6" ht="13.5">
      <c r="A1758" s="86"/>
      <c r="B1758" s="91"/>
      <c r="C1758" s="92"/>
      <c r="D1758" s="82"/>
      <c r="E1758" s="82"/>
      <c r="F1758" s="96"/>
    </row>
    <row r="1759" spans="1:6" ht="13.5">
      <c r="A1759" s="86"/>
      <c r="B1759" s="91"/>
      <c r="C1759" s="92"/>
      <c r="D1759" s="82"/>
      <c r="E1759" s="82"/>
      <c r="F1759" s="96"/>
    </row>
    <row r="1760" spans="1:6" ht="13.5">
      <c r="A1760" s="86"/>
      <c r="B1760" s="91"/>
      <c r="C1760" s="92"/>
      <c r="D1760" s="82"/>
      <c r="E1760" s="82"/>
      <c r="F1760" s="96"/>
    </row>
    <row r="1761" spans="1:6" ht="13.5">
      <c r="A1761" s="86"/>
      <c r="B1761" s="91"/>
      <c r="C1761" s="92"/>
      <c r="D1761" s="82"/>
      <c r="E1761" s="82"/>
      <c r="F1761" s="96"/>
    </row>
    <row r="1762" spans="1:6" ht="13.5">
      <c r="A1762" s="86"/>
      <c r="B1762" s="91"/>
      <c r="C1762" s="92"/>
      <c r="D1762" s="82"/>
      <c r="E1762" s="82"/>
      <c r="F1762" s="96"/>
    </row>
    <row r="1763" spans="1:6" ht="13.5">
      <c r="A1763" s="86"/>
      <c r="B1763" s="91"/>
      <c r="C1763" s="92"/>
      <c r="D1763" s="82"/>
      <c r="E1763" s="82"/>
      <c r="F1763" s="96"/>
    </row>
    <row r="1764" spans="1:6" ht="13.5">
      <c r="A1764" s="86"/>
      <c r="B1764" s="91"/>
      <c r="C1764" s="92"/>
      <c r="D1764" s="82"/>
      <c r="E1764" s="82"/>
      <c r="F1764" s="96"/>
    </row>
    <row r="1765" spans="1:6" ht="13.5">
      <c r="A1765" s="86"/>
      <c r="B1765" s="91"/>
      <c r="C1765" s="92"/>
      <c r="D1765" s="82"/>
      <c r="E1765" s="82"/>
      <c r="F1765" s="96"/>
    </row>
    <row r="1766" spans="1:6" ht="13.5">
      <c r="A1766" s="86"/>
      <c r="B1766" s="91"/>
      <c r="C1766" s="92"/>
      <c r="D1766" s="82"/>
      <c r="E1766" s="82"/>
      <c r="F1766" s="96"/>
    </row>
    <row r="1767" spans="1:6" ht="13.5">
      <c r="A1767" s="86"/>
      <c r="B1767" s="91"/>
      <c r="C1767" s="92"/>
      <c r="D1767" s="82"/>
      <c r="E1767" s="82"/>
      <c r="F1767" s="96"/>
    </row>
    <row r="1768" spans="1:6" ht="13.5">
      <c r="A1768" s="86"/>
      <c r="B1768" s="91"/>
      <c r="C1768" s="92"/>
      <c r="D1768" s="82"/>
      <c r="E1768" s="82"/>
      <c r="F1768" s="96"/>
    </row>
    <row r="1769" spans="1:6" ht="13.5">
      <c r="A1769" s="86"/>
      <c r="B1769" s="91"/>
      <c r="C1769" s="92"/>
      <c r="D1769" s="82"/>
      <c r="E1769" s="82"/>
      <c r="F1769" s="96"/>
    </row>
    <row r="1770" spans="1:6" ht="13.5">
      <c r="A1770" s="86"/>
      <c r="B1770" s="91"/>
      <c r="C1770" s="92"/>
      <c r="D1770" s="82"/>
      <c r="E1770" s="82"/>
      <c r="F1770" s="96"/>
    </row>
    <row r="1771" spans="1:6" ht="13.5">
      <c r="A1771" s="86"/>
      <c r="B1771" s="91"/>
      <c r="C1771" s="92"/>
      <c r="D1771" s="82"/>
      <c r="E1771" s="82"/>
      <c r="F1771" s="96"/>
    </row>
    <row r="1772" spans="1:6" ht="13.5">
      <c r="A1772" s="86"/>
      <c r="B1772" s="91"/>
      <c r="C1772" s="92"/>
      <c r="D1772" s="82"/>
      <c r="E1772" s="82"/>
      <c r="F1772" s="96"/>
    </row>
    <row r="1773" spans="1:6" ht="13.5">
      <c r="A1773" s="86"/>
      <c r="B1773" s="91"/>
      <c r="C1773" s="92"/>
      <c r="D1773" s="82"/>
      <c r="E1773" s="82"/>
      <c r="F1773" s="96"/>
    </row>
    <row r="1774" spans="1:6" ht="13.5">
      <c r="A1774" s="86"/>
      <c r="B1774" s="91"/>
      <c r="C1774" s="92"/>
      <c r="D1774" s="82"/>
      <c r="E1774" s="82"/>
      <c r="F1774" s="96"/>
    </row>
    <row r="1775" spans="1:6" ht="13.5">
      <c r="A1775" s="86"/>
      <c r="B1775" s="91"/>
      <c r="C1775" s="92"/>
      <c r="D1775" s="82"/>
      <c r="E1775" s="82"/>
      <c r="F1775" s="96"/>
    </row>
    <row r="1776" spans="1:6" ht="13.5">
      <c r="A1776" s="86"/>
      <c r="B1776" s="91"/>
      <c r="C1776" s="92"/>
      <c r="D1776" s="82"/>
      <c r="E1776" s="82"/>
      <c r="F1776" s="96"/>
    </row>
    <row r="1777" spans="1:6" ht="13.5">
      <c r="A1777" s="86"/>
      <c r="B1777" s="91"/>
      <c r="C1777" s="92"/>
      <c r="D1777" s="82"/>
      <c r="E1777" s="82"/>
      <c r="F1777" s="96"/>
    </row>
    <row r="1778" spans="1:6" ht="13.5">
      <c r="A1778" s="86"/>
      <c r="B1778" s="91"/>
      <c r="C1778" s="92"/>
      <c r="D1778" s="82"/>
      <c r="E1778" s="82"/>
      <c r="F1778" s="96"/>
    </row>
    <row r="1779" spans="1:6" ht="13.5">
      <c r="A1779" s="86"/>
      <c r="B1779" s="91"/>
      <c r="C1779" s="92"/>
      <c r="D1779" s="82"/>
      <c r="E1779" s="82"/>
      <c r="F1779" s="96"/>
    </row>
    <row r="1780" spans="1:6" ht="13.5">
      <c r="A1780" s="86"/>
      <c r="B1780" s="91"/>
      <c r="C1780" s="92"/>
      <c r="D1780" s="82"/>
      <c r="E1780" s="82"/>
      <c r="F1780" s="96"/>
    </row>
    <row r="1781" spans="1:6" ht="13.5">
      <c r="A1781" s="86"/>
      <c r="B1781" s="91"/>
      <c r="C1781" s="92"/>
      <c r="D1781" s="82"/>
      <c r="E1781" s="82"/>
      <c r="F1781" s="96"/>
    </row>
    <row r="1782" spans="1:6" ht="13.5">
      <c r="A1782" s="86"/>
      <c r="B1782" s="91"/>
      <c r="C1782" s="92"/>
      <c r="D1782" s="82"/>
      <c r="E1782" s="82"/>
      <c r="F1782" s="96"/>
    </row>
    <row r="1783" spans="1:6" ht="13.5">
      <c r="A1783" s="86"/>
      <c r="B1783" s="91"/>
      <c r="C1783" s="92"/>
      <c r="D1783" s="82"/>
      <c r="E1783" s="82"/>
      <c r="F1783" s="96"/>
    </row>
    <row r="1784" spans="1:6" ht="13.5">
      <c r="A1784" s="86"/>
      <c r="B1784" s="91"/>
      <c r="C1784" s="92"/>
      <c r="D1784" s="82"/>
      <c r="E1784" s="82"/>
      <c r="F1784" s="96"/>
    </row>
    <row r="1785" spans="1:6" ht="13.5">
      <c r="A1785" s="86"/>
      <c r="B1785" s="91"/>
      <c r="C1785" s="92"/>
      <c r="D1785" s="82"/>
      <c r="E1785" s="82"/>
      <c r="F1785" s="96"/>
    </row>
    <row r="1786" spans="1:6" ht="13.5">
      <c r="A1786" s="86"/>
      <c r="B1786" s="91"/>
      <c r="C1786" s="92"/>
      <c r="D1786" s="82"/>
      <c r="E1786" s="82"/>
      <c r="F1786" s="96"/>
    </row>
    <row r="1787" spans="1:6" ht="13.5">
      <c r="A1787" s="86"/>
      <c r="B1787" s="91"/>
      <c r="C1787" s="92"/>
      <c r="D1787" s="82"/>
      <c r="E1787" s="82"/>
      <c r="F1787" s="96"/>
    </row>
    <row r="1788" spans="1:6" ht="13.5">
      <c r="A1788" s="86"/>
      <c r="B1788" s="91"/>
      <c r="C1788" s="92"/>
      <c r="D1788" s="82"/>
      <c r="E1788" s="82"/>
      <c r="F1788" s="96"/>
    </row>
    <row r="1789" spans="1:6" ht="13.5">
      <c r="A1789" s="86"/>
      <c r="B1789" s="91"/>
      <c r="C1789" s="92"/>
      <c r="D1789" s="82"/>
      <c r="E1789" s="82"/>
      <c r="F1789" s="96"/>
    </row>
    <row r="1790" spans="1:6" ht="13.5">
      <c r="A1790" s="86"/>
      <c r="B1790" s="91"/>
      <c r="C1790" s="92"/>
      <c r="D1790" s="82"/>
      <c r="E1790" s="82"/>
      <c r="F1790" s="96"/>
    </row>
    <row r="1791" spans="1:6" ht="13.5">
      <c r="A1791" s="86"/>
      <c r="B1791" s="91"/>
      <c r="C1791" s="92"/>
      <c r="D1791" s="82"/>
      <c r="E1791" s="82"/>
      <c r="F1791" s="96"/>
    </row>
    <row r="1792" spans="1:6" ht="13.5">
      <c r="A1792" s="86"/>
      <c r="B1792" s="91"/>
      <c r="C1792" s="92"/>
      <c r="D1792" s="82"/>
      <c r="E1792" s="82"/>
      <c r="F1792" s="96"/>
    </row>
    <row r="1793" spans="1:6" ht="13.5">
      <c r="A1793" s="86"/>
      <c r="B1793" s="91"/>
      <c r="C1793" s="92"/>
      <c r="D1793" s="82"/>
      <c r="E1793" s="82"/>
      <c r="F1793" s="96"/>
    </row>
    <row r="1794" spans="1:6" ht="13.5">
      <c r="A1794" s="86"/>
      <c r="B1794" s="91"/>
      <c r="C1794" s="92"/>
      <c r="D1794" s="82"/>
      <c r="E1794" s="82"/>
      <c r="F1794" s="96"/>
    </row>
    <row r="1795" spans="1:6" ht="13.5">
      <c r="A1795" s="86"/>
      <c r="B1795" s="91"/>
      <c r="C1795" s="92"/>
      <c r="D1795" s="82"/>
      <c r="E1795" s="82"/>
      <c r="F1795" s="96"/>
    </row>
    <row r="1796" spans="1:6" ht="13.5">
      <c r="A1796" s="86"/>
      <c r="B1796" s="91"/>
      <c r="C1796" s="92"/>
      <c r="D1796" s="82"/>
      <c r="E1796" s="82"/>
      <c r="F1796" s="96"/>
    </row>
    <row r="1797" spans="1:6" ht="13.5">
      <c r="A1797" s="86"/>
      <c r="B1797" s="91"/>
      <c r="C1797" s="92"/>
      <c r="D1797" s="82"/>
      <c r="E1797" s="82"/>
      <c r="F1797" s="96"/>
    </row>
    <row r="1798" spans="1:6" ht="13.5">
      <c r="A1798" s="86"/>
      <c r="B1798" s="91"/>
      <c r="C1798" s="92"/>
      <c r="D1798" s="82"/>
      <c r="E1798" s="82"/>
      <c r="F1798" s="96"/>
    </row>
    <row r="1799" spans="1:6" ht="13.5">
      <c r="A1799" s="86"/>
      <c r="B1799" s="91"/>
      <c r="C1799" s="92"/>
      <c r="D1799" s="82"/>
      <c r="E1799" s="82"/>
      <c r="F1799" s="96"/>
    </row>
    <row r="1800" spans="1:6" ht="13.5">
      <c r="A1800" s="86"/>
      <c r="B1800" s="91"/>
      <c r="C1800" s="92"/>
      <c r="D1800" s="82"/>
      <c r="E1800" s="82"/>
      <c r="F1800" s="96"/>
    </row>
    <row r="1801" spans="1:6" ht="13.5">
      <c r="A1801" s="86"/>
      <c r="B1801" s="91"/>
      <c r="C1801" s="92"/>
      <c r="D1801" s="82"/>
      <c r="E1801" s="82"/>
      <c r="F1801" s="96"/>
    </row>
    <row r="1802" spans="1:6" ht="13.5">
      <c r="A1802" s="86"/>
      <c r="B1802" s="91"/>
      <c r="C1802" s="92"/>
      <c r="D1802" s="82"/>
      <c r="E1802" s="82"/>
      <c r="F1802" s="96"/>
    </row>
    <row r="1803" spans="1:6" ht="13.5">
      <c r="A1803" s="86"/>
      <c r="B1803" s="91"/>
      <c r="C1803" s="92"/>
      <c r="D1803" s="82"/>
      <c r="E1803" s="82"/>
      <c r="F1803" s="96"/>
    </row>
    <row r="1804" spans="1:6" ht="13.5">
      <c r="A1804" s="86"/>
      <c r="B1804" s="91"/>
      <c r="C1804" s="92"/>
      <c r="D1804" s="82"/>
      <c r="E1804" s="82"/>
      <c r="F1804" s="96"/>
    </row>
    <row r="1805" spans="1:6" ht="13.5">
      <c r="A1805" s="86"/>
      <c r="B1805" s="91"/>
      <c r="C1805" s="92"/>
      <c r="D1805" s="82"/>
      <c r="E1805" s="82"/>
      <c r="F1805" s="96"/>
    </row>
    <row r="1806" spans="1:6" ht="13.5">
      <c r="A1806" s="86"/>
      <c r="B1806" s="91"/>
      <c r="C1806" s="92"/>
      <c r="D1806" s="82"/>
      <c r="E1806" s="82"/>
      <c r="F1806" s="96"/>
    </row>
    <row r="1807" spans="1:6" ht="13.5">
      <c r="A1807" s="86"/>
      <c r="B1807" s="91"/>
      <c r="C1807" s="92"/>
      <c r="D1807" s="82"/>
      <c r="E1807" s="82"/>
      <c r="F1807" s="96"/>
    </row>
    <row r="1808" spans="1:6" ht="13.5">
      <c r="A1808" s="86"/>
      <c r="B1808" s="91"/>
      <c r="C1808" s="92"/>
      <c r="D1808" s="82"/>
      <c r="E1808" s="82"/>
      <c r="F1808" s="96"/>
    </row>
    <row r="1809" spans="1:6" ht="13.5">
      <c r="A1809" s="86"/>
      <c r="B1809" s="91"/>
      <c r="C1809" s="92"/>
      <c r="D1809" s="82"/>
      <c r="E1809" s="82"/>
      <c r="F1809" s="96"/>
    </row>
    <row r="1810" spans="1:6" ht="13.5">
      <c r="A1810" s="86"/>
      <c r="B1810" s="91"/>
      <c r="C1810" s="92"/>
      <c r="D1810" s="82"/>
      <c r="E1810" s="82"/>
      <c r="F1810" s="96"/>
    </row>
    <row r="1811" spans="1:6" ht="13.5">
      <c r="A1811" s="86"/>
      <c r="B1811" s="91"/>
      <c r="C1811" s="92"/>
      <c r="D1811" s="82"/>
      <c r="E1811" s="82"/>
      <c r="F1811" s="96"/>
    </row>
    <row r="1812" spans="1:6" ht="13.5">
      <c r="A1812" s="86"/>
      <c r="B1812" s="91"/>
      <c r="C1812" s="92"/>
      <c r="D1812" s="82"/>
      <c r="E1812" s="82"/>
      <c r="F1812" s="96"/>
    </row>
    <row r="1813" spans="1:6" ht="13.5">
      <c r="A1813" s="86"/>
      <c r="B1813" s="91"/>
      <c r="C1813" s="92"/>
      <c r="D1813" s="82"/>
      <c r="E1813" s="82"/>
      <c r="F1813" s="96"/>
    </row>
    <row r="1814" spans="1:6" ht="13.5">
      <c r="A1814" s="86"/>
      <c r="B1814" s="91"/>
      <c r="C1814" s="92"/>
      <c r="D1814" s="82"/>
      <c r="E1814" s="82"/>
      <c r="F1814" s="96"/>
    </row>
    <row r="1815" spans="1:6" ht="13.5">
      <c r="A1815" s="86"/>
      <c r="B1815" s="91"/>
      <c r="C1815" s="92"/>
      <c r="D1815" s="82"/>
      <c r="E1815" s="82"/>
      <c r="F1815" s="96"/>
    </row>
    <row r="1816" spans="1:6" ht="13.5">
      <c r="A1816" s="86"/>
      <c r="B1816" s="91"/>
      <c r="C1816" s="92"/>
      <c r="D1816" s="82"/>
      <c r="E1816" s="82"/>
      <c r="F1816" s="96"/>
    </row>
    <row r="1817" spans="1:6" ht="13.5">
      <c r="A1817" s="86"/>
      <c r="B1817" s="91"/>
      <c r="C1817" s="92"/>
      <c r="D1817" s="82"/>
      <c r="E1817" s="82"/>
      <c r="F1817" s="96"/>
    </row>
    <row r="1818" spans="1:6" ht="13.5">
      <c r="A1818" s="86"/>
      <c r="B1818" s="91"/>
      <c r="C1818" s="92"/>
      <c r="D1818" s="82"/>
      <c r="E1818" s="82"/>
      <c r="F1818" s="96"/>
    </row>
  </sheetData>
  <mergeCells count="18">
    <mergeCell ref="A57:F57"/>
    <mergeCell ref="A7:F7"/>
    <mergeCell ref="A8:F8"/>
    <mergeCell ref="A9:F9"/>
    <mergeCell ref="A12:F12"/>
    <mergeCell ref="A45:F45"/>
    <mergeCell ref="A47:F47"/>
    <mergeCell ref="A48:F48"/>
    <mergeCell ref="A49:F49"/>
    <mergeCell ref="A51:F51"/>
    <mergeCell ref="A53:F53"/>
    <mergeCell ref="A55:F55"/>
    <mergeCell ref="B6:F6"/>
    <mergeCell ref="B1:F1"/>
    <mergeCell ref="A2:F2"/>
    <mergeCell ref="A4:F4"/>
    <mergeCell ref="A5:F5"/>
    <mergeCell ref="D3:F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&amp;LBD Hübnerové&amp;ROdhad stavebních nákladů</oddHeader>
    <oddFooter>&amp;CStránka &amp;P z &amp;N</oddFooter>
  </headerFooter>
  <rowBreaks count="2" manualBreakCount="2">
    <brk id="57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Kulhavý</dc:creator>
  <cp:keywords/>
  <dc:description/>
  <cp:lastModifiedBy>Ivana Merhoutová</cp:lastModifiedBy>
  <cp:lastPrinted>2022-05-23T21:56:58Z</cp:lastPrinted>
  <dcterms:created xsi:type="dcterms:W3CDTF">2018-01-04T16:39:17Z</dcterms:created>
  <dcterms:modified xsi:type="dcterms:W3CDTF">2023-06-30T09:59:59Z</dcterms:modified>
  <cp:category/>
  <cp:version/>
  <cp:contentType/>
  <cp:contentStatus/>
</cp:coreProperties>
</file>